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884E1FE2-6FF3-419E-913B-44D045025BD2}" xr6:coauthVersionLast="47" xr6:coauthVersionMax="47" xr10:uidLastSave="{00000000-0000-0000-0000-000000000000}"/>
  <workbookProtection workbookAlgorithmName="SHA-512" workbookHashValue="7hjcqdK3fcAhwx9fAa0yDHVErIG5lc3qQlbf8CEqRQbeJeblgHNwxub17bUCC4TBt2XrXJ46vs6UN0gfS108mA==" workbookSaltValue="DiPtIzXR5GAeQLnZ1n3vdg==" workbookSpinCount="100000" lockStructure="1"/>
  <bookViews>
    <workbookView xWindow="1860" yWindow="1860" windowWidth="23715" windowHeight="14745"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LP)" sheetId="7" r:id="rId6"/>
    <sheet name="NonQM (BC)" sheetId="8" state="hidden" r:id="rId7"/>
    <sheet name="DSCR (BC)" sheetId="15" state="hidden" r:id="rId8"/>
    <sheet name="DSCR (LP)" sheetId="24" r:id="rId9"/>
    <sheet name="CoreFlex (LP)" sheetId="41"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(LP)'!$A$1:$Q$62</definedName>
    <definedName name="_xlnm.Print_Area" localSheetId="8">'DSCR (LP)'!$A$1:$U$86</definedName>
    <definedName name="_xlnm.Print_Area" localSheetId="5">'NonQM (LP)'!$A$1:$W$88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H45" i="21" a="1"/>
  <c r="M45" i="21" a="1"/>
  <c r="AL44" i="21" a="1"/>
  <c r="M44" i="21" a="1"/>
  <c r="B44" i="21"/>
  <c r="AL43" i="21"/>
  <c r="AH43" i="21" a="1"/>
  <c r="M43" i="21"/>
  <c r="AL42" i="21"/>
  <c r="M42" i="21" a="1"/>
  <c r="AL41" i="21"/>
  <c r="M41" i="21" a="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E109" i="38" l="1"/>
  <c r="L130" i="21"/>
  <c r="M130" i="21"/>
  <c r="M128" i="21"/>
  <c r="L128" i="21"/>
  <c r="P31" i="41" l="1" a="1"/>
  <c r="P29" i="41"/>
  <c r="P26" i="41"/>
  <c r="P16" i="41"/>
  <c r="P14" i="41"/>
  <c r="P12" i="41"/>
  <c r="P34" i="41"/>
  <c r="P20" i="41"/>
  <c r="P19" i="41"/>
  <c r="I83" i="38"/>
  <c r="I82" i="38"/>
  <c r="I81" i="38"/>
  <c r="I80" i="38"/>
  <c r="I79" i="38"/>
  <c r="I78" i="38"/>
  <c r="I77" i="38"/>
  <c r="I76" i="38"/>
  <c r="I75" i="38"/>
  <c r="I74" i="38"/>
  <c r="I73" i="38"/>
  <c r="I72" i="38"/>
  <c r="I71" i="38"/>
  <c r="I70" i="38"/>
  <c r="I69" i="38"/>
  <c r="I68" i="38"/>
  <c r="I67" i="38"/>
  <c r="I66" i="38"/>
  <c r="I65" i="38"/>
  <c r="I64" i="38"/>
  <c r="I63" i="38"/>
  <c r="I62" i="38"/>
  <c r="P45" i="41"/>
  <c r="O46" i="41" s="1"/>
  <c r="P44" i="41"/>
  <c r="M41" i="41" a="1"/>
  <c r="B5" i="41"/>
  <c r="B108" i="38"/>
  <c r="G70" i="38"/>
  <c r="G69" i="38"/>
  <c r="P22" i="41" l="1"/>
  <c r="P15" i="41"/>
  <c r="P36" i="41" s="1"/>
  <c r="P21" i="41"/>
  <c r="P30" i="41"/>
  <c r="P24" i="41"/>
  <c r="P37" i="41"/>
  <c r="B46" i="38"/>
  <c r="P35" i="41"/>
  <c r="O35" i="41" s="1"/>
  <c r="I61" i="38"/>
  <c r="E131" i="38"/>
  <c r="E126" i="38"/>
  <c r="G61" i="38" l="1"/>
  <c r="P40" i="41"/>
  <c r="P38" i="41"/>
  <c r="P39" i="41"/>
  <c r="P33" i="41"/>
  <c r="O47" i="41" l="1"/>
  <c r="G64" i="38"/>
  <c r="J61" i="38"/>
  <c r="J62" i="38"/>
  <c r="J63" i="38"/>
  <c r="J64" i="38"/>
  <c r="J65" i="38"/>
  <c r="J66" i="38"/>
  <c r="J67" i="38"/>
  <c r="J68" i="38"/>
  <c r="J69" i="38"/>
  <c r="J70" i="38"/>
  <c r="J71" i="38"/>
  <c r="J72" i="38"/>
  <c r="J73" i="38"/>
  <c r="J74" i="38"/>
  <c r="J75" i="38"/>
  <c r="J76" i="38"/>
  <c r="J77" i="38"/>
  <c r="J78" i="38"/>
  <c r="J79" i="38"/>
  <c r="J80" i="38"/>
  <c r="J81" i="38"/>
  <c r="J82" i="38"/>
  <c r="J83" i="38"/>
  <c r="C5" i="7"/>
  <c r="I105" i="38" l="1" a="1"/>
  <c r="N61" i="38" l="1" a="1"/>
  <c r="M35" i="41"/>
  <c r="T34" i="24" l="1"/>
  <c r="T83" i="24"/>
  <c r="R83" i="24"/>
  <c r="Q83" i="24"/>
  <c r="T81" i="24"/>
  <c r="R81" i="24"/>
  <c r="Q81" i="24"/>
  <c r="T79" i="24"/>
  <c r="R79" i="24"/>
  <c r="Q79" i="24"/>
  <c r="T45" i="24"/>
  <c r="S46" i="24" s="1"/>
  <c r="T44" i="24"/>
  <c r="V34" i="7"/>
  <c r="V45" i="7"/>
  <c r="U46" i="7" s="1"/>
  <c r="V44" i="7"/>
  <c r="V82" i="7"/>
  <c r="T82" i="7"/>
  <c r="S82" i="7"/>
  <c r="V80" i="7"/>
  <c r="T80" i="7"/>
  <c r="S80" i="7"/>
  <c r="V78" i="7"/>
  <c r="T78" i="7"/>
  <c r="S78" i="7"/>
  <c r="V37" i="7" l="1"/>
  <c r="T31" i="24" l="1" a="1"/>
  <c r="T27" i="24"/>
  <c r="T21" i="24"/>
  <c r="T20" i="24"/>
  <c r="T18" i="24"/>
  <c r="T16" i="24"/>
  <c r="T15" i="24"/>
  <c r="T13" i="24"/>
  <c r="T12" i="24"/>
  <c r="T35" i="24"/>
  <c r="S35" i="24" s="1"/>
  <c r="V12" i="7" l="1"/>
  <c r="Q41" i="24" l="1" a="1"/>
  <c r="T37" i="24"/>
  <c r="Q35" i="24" l="1"/>
  <c r="E152" i="2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E147" i="21"/>
  <c r="N82" i="21" a="1"/>
  <c r="G94" i="21" l="1"/>
  <c r="G82" i="21"/>
  <c r="T33" i="24"/>
  <c r="S33" i="24" s="1"/>
  <c r="T26" i="24"/>
  <c r="T14" i="24"/>
  <c r="T25" i="24"/>
  <c r="T29" i="24"/>
  <c r="T19" i="24"/>
  <c r="T30" i="24"/>
  <c r="T24" i="24"/>
  <c r="T39" i="24"/>
  <c r="T36" i="24" l="1"/>
  <c r="T40" i="24" s="1"/>
  <c r="G85" i="21" s="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1" i="7" a="1"/>
  <c r="V32" i="7"/>
  <c r="V31" i="7" a="1"/>
  <c r="V27" i="7"/>
  <c r="V22" i="7"/>
  <c r="V21" i="7"/>
  <c r="V18" i="7"/>
  <c r="V16" i="7"/>
  <c r="V15" i="7"/>
  <c r="V13" i="7"/>
  <c r="S47" i="24" l="1"/>
  <c r="V36" i="8"/>
  <c r="U35" i="8" s="1"/>
  <c r="T36" i="15"/>
  <c r="T40" i="15" s="1"/>
  <c r="V36" i="7"/>
  <c r="O187" i="4"/>
  <c r="O186" i="4"/>
  <c r="R182" i="4"/>
  <c r="Q182" i="4"/>
  <c r="P182" i="4"/>
  <c r="R177" i="4"/>
  <c r="P177" i="4"/>
  <c r="O177" i="4"/>
  <c r="R181" i="4"/>
  <c r="Q181" i="4"/>
  <c r="P181" i="4"/>
  <c r="R176" i="4"/>
  <c r="Q176" i="4"/>
  <c r="P176" i="4"/>
  <c r="O176" i="4"/>
  <c r="O181" i="4"/>
  <c r="O182" i="4"/>
  <c r="V40" i="7" l="1"/>
  <c r="V40" i="8"/>
  <c r="O175" i="4"/>
  <c r="T25" i="15" s="1"/>
  <c r="Q180" i="4"/>
  <c r="R180" i="4"/>
  <c r="P180" i="4"/>
  <c r="O185" i="4"/>
  <c r="P175" i="4"/>
  <c r="O180" i="4"/>
  <c r="Q175" i="4"/>
  <c r="R175" i="4"/>
  <c r="U47" i="7" l="1"/>
  <c r="G85" i="4"/>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M126" i="21" a="1"/>
  <c r="M129" i="21" l="1"/>
  <c r="M127" i="21"/>
  <c r="L127" i="21"/>
  <c r="L129" i="21"/>
  <c r="N132" i="21" l="1"/>
  <c r="L134" i="21" s="1"/>
  <c r="N130" i="21"/>
  <c r="S35" i="7"/>
  <c r="T35" i="15"/>
  <c r="V35" i="7"/>
  <c r="U35" i="7" s="1"/>
  <c r="V35" i="8"/>
  <c r="P168" i="4" l="1"/>
  <c r="K134" i="21"/>
  <c r="Q163" i="4"/>
  <c r="Q168" i="4"/>
  <c r="O163" i="4"/>
  <c r="P163" i="4"/>
  <c r="R163" i="4"/>
  <c r="O168" i="4"/>
  <c r="R168" i="4"/>
  <c r="T38" i="24" l="1"/>
  <c r="V20" i="8"/>
  <c r="V20" i="7"/>
  <c r="V23" i="8"/>
  <c r="V23" i="7"/>
  <c r="V14" i="7"/>
  <c r="V14" i="8"/>
  <c r="V30" i="7"/>
  <c r="V30" i="8"/>
  <c r="V24" i="8"/>
  <c r="V24" i="7"/>
  <c r="V19" i="8"/>
  <c r="V19" i="7"/>
  <c r="V26" i="8"/>
  <c r="V26" i="7"/>
  <c r="V25" i="8"/>
  <c r="V25" i="7"/>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B65" i="4" l="1" a="1"/>
  <c r="B64" i="4" a="1"/>
  <c r="I108" i="38"/>
  <c r="I109" i="38" s="1"/>
  <c r="N111" i="38" s="1"/>
  <c r="L113" i="38" s="1"/>
  <c r="I107" i="38"/>
  <c r="N109" i="38" s="1"/>
  <c r="B67" i="4"/>
  <c r="G82" i="4" s="1"/>
  <c r="K113" i="38" l="1"/>
  <c r="V33" i="8"/>
  <c r="U33" i="8" s="1"/>
  <c r="T33" i="15"/>
  <c r="V33" i="7"/>
  <c r="U33" i="7" s="1"/>
  <c r="G94" i="4" l="1"/>
  <c r="E147" i="4"/>
  <c r="T39" i="15" l="1"/>
  <c r="V39" i="7"/>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7"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<sst xmlns="http://schemas.openxmlformats.org/spreadsheetml/2006/main" count="3599" uniqueCount="939">
  <si>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</si>
  <si>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</si>
  <si>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</si>
  <si>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</si>
  <si>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</si>
  <si>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</si>
  <si>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</si>
  <si>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</si>
  <si>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</si>
  <si>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</si>
  <si>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</si>
  <si>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</si>
  <si>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</si>
  <si>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</si>
  <si>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</si>
  <si>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</si>
  <si>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</si>
  <si>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</si>
  <si>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</si>
  <si>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</si>
  <si>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</si>
  <si>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</si>
  <si>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</si>
  <si>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</si>
  <si>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</si>
  <si>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</si>
  <si>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</si>
  <si>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</si>
  <si>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</si>
  <si>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</si>
  <si>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</si>
  <si>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</si>
  <si>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</si>
  <si>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</si>
  <si>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</si>
  <si>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</si>
  <si>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</si>
  <si>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</si>
  <si>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</si>
  <si>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</si>
  <si>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</si>
  <si>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</si>
  <si>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</si>
  <si>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</si>
  <si>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</si>
  <si>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</si>
  <si>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</si>
  <si>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</si>
  <si>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</si>
  <si>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</si>
  <si>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</si>
  <si>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</si>
  <si>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</si>
  <si>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</si>
  <si>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</si>
  <si>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</si>
  <si>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</si>
  <si>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</si>
  <si>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</si>
  <si>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</si>
  <si>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</si>
  <si>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</si>
  <si>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</si>
  <si>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</si>
  <si>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</si>
  <si>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</si>
  <si>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</si>
  <si>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</si>
  <si>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</si>
  <si>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</si>
  <si>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</si>
  <si>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</si>
  <si>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</si>
  <si>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</si>
  <si>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</si>
  <si>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</si>
  <si>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</si>
  <si>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</si>
  <si>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</si>
  <si>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</si>
  <si>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</si>
  <si>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</si>
  <si>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</si>
  <si>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</si>
  <si>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</si>
  <si>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</si>
  <si>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</si>
  <si>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</si>
  <si>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</si>
  <si>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</si>
  <si>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</si>
  <si>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</si>
  <si>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</si>
  <si>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</si>
  <si>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</si>
  <si>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</si>
  <si>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</si>
  <si>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</si>
  <si>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</si>
  <si>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</si>
  <si>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</si>
  <si>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</si>
  <si>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</si>
  <si>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</si>
  <si>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</si>
  <si>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</si>
  <si>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</si>
  <si>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</si>
  <si>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</si>
  <si>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</si>
  <si>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</si>
  <si>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</si>
  <si>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</si>
  <si>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</si>
  <si>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</si>
  <si>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</si>
  <si>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</si>
  <si>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</si>
  <si>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</si>
  <si>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</si>
  <si>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</si>
  <si>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</si>
  <si>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</si>
  <si>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</si>
  <si>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</si>
  <si>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</si>
  <si>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</si>
  <si>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</si>
  <si>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</si>
  <si>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</si>
  <si>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</si>
  <si>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</si>
  <si>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</si>
  <si>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</si>
  <si>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</si>
  <si>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</si>
  <si>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</si>
  <si>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</si>
  <si>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</si>
  <si>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</si>
  <si>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</si>
  <si>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</si>
  <si>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</si>
  <si>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</si>
  <si>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</si>
  <si>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</si>
  <si>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</si>
  <si>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</si>
  <si>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</si>
  <si>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</si>
  <si>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</si>
  <si>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</si>
  <si>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</si>
  <si>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</si>
  <si>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</si>
  <si>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</si>
  <si>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</si>
  <si>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</si>
  <si>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</si>
  <si>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</si>
  <si>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</si>
  <si>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</si>
  <si>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</si>
  <si>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</si>
  <si>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</si>
  <si>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</si>
  <si>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</si>
  <si>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</si>
  <si>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</si>
  <si>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</si>
  <si>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</si>
  <si>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</si>
  <si>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</si>
  <si>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</si>
  <si>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</si>
  <si>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</si>
  <si>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</si>
  <si>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</si>
  <si>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</si>
  <si>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</si>
  <si>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</si>
  <si>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</si>
  <si>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</si>
  <si>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</si>
  <si>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</si>
  <si>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</si>
  <si>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</si>
  <si>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</si>
  <si>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</si>
  <si>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</si>
  <si>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</si>
  <si>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</si>
  <si>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</si>
  <si>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</si>
  <si>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</si>
  <si>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</si>
  <si>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</si>
  <si>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</si>
  <si>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</si>
  <si>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</si>
  <si>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</si>
  <si>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</si>
  <si>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</si>
  <si>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</si>
  <si>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</si>
  <si>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</si>
  <si>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</si>
  <si>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</si>
  <si>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</si>
  <si>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</si>
  <si>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</si>
  <si>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</si>
  <si>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</si>
  <si>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</si>
  <si>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</si>
  <si>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</si>
  <si>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</si>
  <si>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</si>
  <si>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</si>
  <si>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</si>
  <si>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</si>
  <si>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</si>
  <si>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</si>
  <si>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</si>
  <si>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</si>
  <si>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</si>
  <si>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</si>
  <si>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</si>
  <si>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</si>
  <si>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</si>
  <si>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</si>
  <si>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</si>
  <si>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</si>
  <si>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</si>
  <si>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</si>
  <si>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</si>
  <si>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</si>
  <si>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</si>
  <si>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</si>
  <si>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</si>
  <si>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</si>
  <si>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</si>
  <si>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</si>
  <si>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</si>
  <si>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</si>
  <si>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</si>
  <si>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</si>
  <si>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</si>
  <si>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</si>
  <si>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</si>
  <si>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</si>
  <si>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</si>
  <si>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</si>
  <si>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</si>
  <si>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</si>
  <si>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</si>
  <si>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</si>
  <si>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</si>
  <si>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</si>
  <si>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</si>
  <si>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</si>
  <si>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</si>
  <si>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</si>
  <si>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</si>
  <si>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</si>
  <si>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</si>
  <si>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</si>
  <si>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</si>
  <si>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</si>
  <si>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</si>
  <si>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</si>
  <si>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</si>
  <si>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</si>
  <si>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</si>
  <si>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</si>
  <si>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</si>
  <si>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</si>
  <si>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</si>
  <si>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</si>
  <si>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</si>
  <si>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</si>
  <si>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</si>
  <si>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</si>
  <si>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</si>
  <si>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</si>
  <si>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</si>
  <si>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</si>
  <si>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</si>
  <si>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</si>
  <si>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</si>
  <si>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</si>
  <si>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</si>
  <si>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</si>
  <si>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</si>
  <si>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</si>
  <si>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</si>
  <si>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</si>
  <si>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</si>
  <si>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</si>
  <si>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</si>
  <si>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</si>
  <si>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</si>
  <si>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</si>
  <si>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</si>
  <si>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</si>
  <si>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</si>
  <si>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</si>
  <si>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</si>
  <si>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</si>
  <si>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</si>
  <si>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</si>
  <si>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</si>
  <si>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</si>
  <si>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</si>
  <si>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</si>
  <si>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</si>
  <si>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</si>
  <si>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</si>
  <si>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</si>
  <si>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</si>
  <si>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</si>
  <si>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</si>
  <si>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</si>
  <si>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</si>
  <si>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</si>
  <si>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</si>
  <si>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</si>
  <si>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</si>
  <si>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</si>
  <si>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</si>
  <si>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</si>
  <si>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</si>
  <si>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</si>
  <si>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</si>
  <si>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</si>
  <si>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</si>
  <si>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</si>
  <si>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</si>
  <si>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</si>
  <si>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</si>
  <si>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</si>
  <si>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</si>
  <si>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</si>
  <si>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</si>
  <si>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</si>
  <si>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</si>
  <si>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</si>
  <si>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</si>
  <si>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</si>
  <si>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</si>
  <si>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</si>
  <si>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</si>
  <si>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</si>
  <si>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</si>
  <si>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</si>
  <si>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</si>
  <si>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</si>
  <si>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</si>
  <si>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</si>
  <si>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</si>
  <si>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</si>
  <si>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</si>
  <si>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</si>
  <si>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</si>
  <si>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</si>
  <si>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</si>
  <si>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</si>
  <si>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</si>
  <si>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</si>
  <si>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</si>
  <si>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</si>
  <si>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</si>
  <si>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</si>
  <si>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</si>
  <si>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</si>
  <si>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</si>
  <si>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</si>
  <si>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</si>
  <si>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</si>
  <si>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</si>
  <si>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</si>
  <si>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</si>
  <si>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</si>
  <si>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</si>
  <si>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</si>
  <si>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</si>
  <si>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</si>
  <si>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</si>
  <si>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</si>
  <si>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</si>
  <si>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</si>
  <si>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</si>
  <si>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</si>
  <si>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</si>
  <si>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</si>
  <si>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</si>
  <si>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</si>
  <si>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</si>
  <si>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</si>
  <si>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</si>
  <si>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</si>
  <si>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</si>
  <si>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</si>
  <si>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</si>
  <si>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</si>
  <si>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</si>
  <si>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</si>
  <si>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</si>
  <si>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</si>
  <si>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</si>
  <si>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</si>
  <si>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</si>
  <si>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</si>
  <si>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</si>
  <si>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</si>
  <si>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</si>
  <si>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</si>
  <si>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</si>
  <si>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</si>
  <si>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</si>
  <si>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</si>
  <si>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</si>
  <si>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</si>
  <si>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</si>
  <si>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</si>
  <si>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</si>
  <si>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</si>
  <si>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</si>
  <si>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</si>
  <si>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</si>
  <si>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</si>
  <si>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</si>
  <si>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</si>
  <si>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</si>
  <si>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</si>
  <si>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</si>
  <si>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</si>
  <si>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</si>
  <si>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</si>
  <si>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</si>
  <si>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</si>
  <si>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</si>
  <si>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</si>
  <si>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</si>
  <si>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</si>
  <si>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</si>
  <si>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</si>
  <si>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</si>
  <si>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</si>
  <si>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</si>
  <si>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</si>
  <si>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</si>
  <si>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</si>
  <si>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</si>
  <si>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</si>
  <si>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</si>
  <si>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</si>
  <si>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</si>
  <si>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</si>
  <si>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</si>
  <si>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</si>
  <si>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</si>
  <si>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</si>
  <si>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</si>
  <si>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</si>
  <si>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</si>
  <si>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</si>
  <si>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</si>
  <si>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</si>
  <si>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</si>
  <si>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</si>
  <si>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</si>
  <si>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</si>
  <si>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</si>
  <si>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</si>
  <si>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</si>
  <si>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</si>
  <si>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</si>
  <si>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</si>
  <si>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</si>
  <si>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</si>
  <si>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</si>
  <si>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</si>
  <si>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</si>
  <si>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</si>
  <si>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</si>
  <si>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</si>
  <si>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</si>
  <si>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</si>
  <si>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</si>
  <si>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</si>
  <si>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</si>
  <si>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</si>
  <si>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</si>
  <si>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</si>
  <si>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</si>
  <si>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</si>
  <si>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</si>
  <si>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</si>
  <si>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</si>
  <si>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</si>
  <si>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</si>
  <si>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</si>
  <si>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</si>
  <si>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</si>
  <si>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</si>
  <si>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</si>
  <si>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</si>
  <si>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</si>
  <si>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</si>
  <si>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</si>
  <si>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</si>
  <si>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</si>
  <si>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</si>
  <si>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</si>
  <si>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</si>
  <si>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</si>
  <si>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</si>
  <si>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</si>
  <si>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</si>
  <si>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</si>
  <si>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</si>
  <si>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</si>
  <si>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</si>
  <si>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</si>
  <si>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</si>
  <si>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</si>
  <si>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</si>
  <si>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</si>
  <si>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</si>
  <si>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</si>
  <si>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</si>
  <si>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</si>
  <si>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</si>
  <si>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</si>
  <si>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</si>
  <si>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</si>
  <si>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</si>
  <si>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</si>
  <si>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</si>
  <si>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</si>
  <si>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</si>
  <si>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</si>
  <si>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</si>
  <si>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</si>
  <si>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</si>
  <si>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</si>
  <si>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</si>
  <si>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</si>
  <si>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</si>
  <si>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</si>
  <si>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</si>
  <si>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</si>
  <si>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</si>
  <si>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</si>
  <si>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</si>
  <si>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</si>
  <si>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</si>
  <si>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</si>
  <si>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</si>
  <si>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</si>
  <si>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</si>
  <si>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</si>
  <si>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</si>
  <si>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</si>
  <si>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</si>
  <si>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</si>
  <si>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</si>
  <si>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</si>
  <si>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</si>
  <si>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</si>
  <si>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</si>
  <si>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</si>
  <si>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</si>
  <si>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</si>
  <si>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</si>
  <si>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</si>
  <si>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</si>
  <si>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</si>
  <si>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</si>
  <si>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</si>
  <si>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</si>
  <si>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</si>
  <si>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</si>
  <si>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</si>
  <si>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</si>
  <si>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</si>
  <si>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</si>
  <si>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</si>
  <si>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</si>
  <si>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</si>
  <si>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</si>
  <si>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</si>
  <si>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</si>
  <si>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</si>
  <si>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</si>
  <si>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</si>
  <si>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</si>
  <si>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</si>
  <si>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</si>
  <si>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</si>
  <si>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</si>
  <si>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</si>
  <si>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</si>
  <si>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</si>
  <si>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</si>
  <si>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</si>
  <si>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</si>
  <si>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</si>
  <si>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</si>
  <si>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</si>
  <si>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</si>
  <si>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</si>
  <si>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</si>
  <si>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</si>
  <si>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</si>
  <si>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</si>
  <si>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</si>
  <si>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</si>
  <si>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</si>
  <si>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</si>
  <si>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</si>
  <si>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</si>
  <si>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</si>
  <si>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</si>
  <si>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</si>
  <si>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</si>
  <si>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</si>
  <si>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</si>
  <si>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</si>
  <si>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</si>
  <si>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</si>
  <si>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</si>
  <si>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</si>
  <si>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</si>
  <si>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</si>
  <si>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</si>
  <si>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</si>
  <si>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</si>
  <si>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</si>
  <si>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</si>
  <si>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</si>
  <si>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</si>
  <si>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</si>
  <si>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</si>
  <si>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Lending Pros Mortgage</t>
  </si>
  <si>
    <t>NonQM Lending Pros</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</si>
  <si>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</si>
  <si>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</si>
  <si>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</si>
  <si>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</si>
  <si>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</si>
  <si>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</si>
  <si>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Lending Pros</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</si>
  <si>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</si>
  <si>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</si>
  <si>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</si>
  <si>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</si>
  <si>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</si>
  <si>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</si>
  <si>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</si>
  <si>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</si>
  <si>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</si>
  <si>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</si>
  <si>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</si>
  <si>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</si>
  <si>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</si>
  <si>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</si>
  <si>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</si>
  <si>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</si>
  <si>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</si>
  <si>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</si>
  <si>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</si>
  <si>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</si>
  <si>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</si>
  <si>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</si>
  <si>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</si>
  <si>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</si>
  <si>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</si>
  <si>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</si>
  <si>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</si>
  <si>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</si>
  <si>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</si>
  <si>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</si>
  <si>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</si>
  <si>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</si>
  <si>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</si>
  <si>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</si>
  <si>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</si>
  <si>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</si>
  <si>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</si>
  <si>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</si>
  <si>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</si>
  <si>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</si>
  <si>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</si>
  <si>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</si>
  <si>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</si>
  <si>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</si>
  <si>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</si>
  <si>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</si>
  <si>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</si>
  <si>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</si>
  <si>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</si>
  <si>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</si>
  <si>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</si>
  <si>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</si>
  <si>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</si>
  <si>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</si>
  <si>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</si>
  <si>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</si>
  <si>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</si>
  <si>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</si>
  <si>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</si>
  <si>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</si>
  <si>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</si>
  <si>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</si>
  <si>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</si>
  <si>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</si>
  <si>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</si>
  <si>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</si>
  <si>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</si>
  <si>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</si>
  <si>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</si>
  <si>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</si>
  <si>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</si>
  <si>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</si>
  <si>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</si>
  <si>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</si>
  <si>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</si>
  <si>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</si>
  <si>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</si>
  <si>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</si>
  <si>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</si>
  <si>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</si>
  <si>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</si>
  <si>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</si>
  <si>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</si>
  <si>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</si>
  <si>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</si>
  <si>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</si>
  <si>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</si>
  <si>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</si>
  <si>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</si>
  <si>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</si>
  <si>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</si>
  <si>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</si>
  <si>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</si>
  <si>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</si>
  <si>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</si>
  <si>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</si>
  <si>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</si>
  <si>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</si>
  <si>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</si>
  <si>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</si>
  <si>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</si>
  <si>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</si>
  <si>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</si>
  <si>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</si>
  <si>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</si>
  <si>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</si>
  <si>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</si>
  <si>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</si>
  <si>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</si>
  <si>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</si>
  <si>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</si>
  <si>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</si>
  <si>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</si>
  <si>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</si>
  <si>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</si>
  <si>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</si>
  <si>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</si>
  <si>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</si>
  <si>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</si>
  <si>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</si>
  <si>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</si>
  <si>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</si>
  <si>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</si>
  <si>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</si>
  <si>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</si>
  <si>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</si>
  <si>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</si>
  <si>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</si>
  <si>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</si>
  <si>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</si>
  <si>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</si>
  <si>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</si>
  <si>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</si>
  <si>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</si>
  <si>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</si>
  <si>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</si>
  <si>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</si>
  <si>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</si>
  <si>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</si>
  <si>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</si>
  <si>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</si>
  <si>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</si>
  <si>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</si>
  <si>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</si>
  <si>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</si>
  <si>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</si>
  <si>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</si>
  <si>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</si>
  <si>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</si>
  <si>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</si>
  <si>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</si>
  <si>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</si>
  <si>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</si>
  <si>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</si>
  <si>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</si>
  <si>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</si>
  <si>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</si>
  <si>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</si>
  <si>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</si>
  <si>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</si>
  <si>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</si>
  <si>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</si>
  <si>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</si>
  <si>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</si>
  <si>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</si>
  <si>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</si>
  <si>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</si>
  <si>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</si>
  <si>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</si>
  <si>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</si>
  <si>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</si>
  <si>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</si>
  <si>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</si>
  <si>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</si>
  <si>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</si>
  <si>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</si>
  <si>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</si>
  <si>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</si>
  <si>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</si>
  <si>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</si>
  <si>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</si>
  <si>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</si>
  <si>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</si>
  <si>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</si>
  <si>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</si>
  <si>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</si>
  <si>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</si>
  <si>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</si>
  <si>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</si>
  <si>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</si>
  <si>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</si>
  <si>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</si>
  <si>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</si>
  <si>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</si>
  <si>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</si>
  <si>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</si>
  <si>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</si>
  <si>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</si>
  <si>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</si>
  <si>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</si>
  <si>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</si>
  <si>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</si>
  <si>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</si>
  <si>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</si>
  <si>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</si>
  <si>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</si>
  <si>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</si>
  <si>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</si>
  <si>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</si>
  <si>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</si>
  <si>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</si>
  <si>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</si>
  <si>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</si>
  <si>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</si>
  <si>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</si>
  <si>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</si>
  <si>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</si>
  <si>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</si>
  <si>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</si>
  <si>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</si>
  <si>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</si>
  <si>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</si>
  <si>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</si>
  <si>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</si>
  <si>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</si>
  <si>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</si>
  <si>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</si>
  <si>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</si>
  <si>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</si>
  <si>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</si>
  <si>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</si>
  <si>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</si>
  <si>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</si>
  <si>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</si>
  <si>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</si>
  <si>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</si>
  <si>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</si>
  <si>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</si>
  <si>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</si>
  <si>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</si>
  <si>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</si>
  <si>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</si>
  <si>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</si>
  <si>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</si>
  <si>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</si>
  <si>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</si>
  <si>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Price Calculator</t>
  </si>
  <si>
    <t>Core Flex Lending Pros</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</si>
  <si>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</si>
  <si>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</si>
  <si>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</si>
  <si>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</si>
  <si>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</si>
  <si>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</si>
  <si>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</si>
  <si>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</si>
  <si>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</si>
  <si>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</si>
  <si>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</si>
  <si>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</si>
  <si>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</si>
  <si>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</si>
  <si>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</si>
  <si>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</si>
  <si>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</si>
  <si>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</si>
  <si>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</si>
  <si>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</si>
  <si>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</si>
  <si>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</si>
  <si>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</si>
  <si>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</si>
  <si>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</si>
  <si>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</si>
  <si>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</si>
  <si>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June Special</t>
  </si>
  <si>
    <t>= Linked values</t>
  </si>
  <si>
    <t>NonQM (LP)'!$U$22, $J$3</t>
  </si>
  <si>
    <t>NonQM (LP)'!$U$22, $J$3:$J$7</t>
  </si>
  <si>
    <t>NonQM (LP)'!$U$22, $J$6:$J$7, 0</t>
  </si>
  <si>
    <t>NonQM (LP)'!$U$22,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</si>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</sst>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2"/>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FC7D20"/>
      <name val="Aptos Narrow"/>
      <family val="2"/>
      <scheme val="minor"/>
    </font>
    <font>
      <sz val="11"/>
      <color rgb="FFFC7D20"/>
      <name val="Aptos Narrow"/>
      <family val="2"/>
    </font>
  </fonts>
  <fills count="49">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gray0625">
        <bgColor rgb="FFFC7D20"/>
      </patternFill>
    </fill>
    <fill>
      <patternFill patternType="mediumGray">
        <bgColor rgb="FFFC7D20"/>
      </patternFill>
    </fill>
    <fill>
      <patternFill patternType="mediumGray">
        <bgColor rgb="FF717374"/>
      </patternFill>
    </fill>
    <fill>
      <patternFill patternType="solid">
        <fgColor rgb="FF717374"/>
        <bgColor auto="1"/>
      </patternFill>
    </fill>
    <fill>
      <patternFill patternType="gray0625">
        <bgColor rgb="FF717374"/>
      </patternFill>
    </fill>
    <fill>
      <patternFill patternType="darkGray">
        <bgColor rgb="FF717374"/>
      </patternFill>
    </fill>
    <fill>
      <patternFill patternType="solid">
        <fgColor rgb="FF717374"/>
        <bgColor indexed="6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darkTrellis">
        <bgColor rgb="FF717374"/>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darkGray">
        <bgColor theme="1" tint="0.14996795556505021"/>
      </patternFill>
    </fill>
    <fill>
      <patternFill patternType="solid">
        <fgColor theme="0" tint="-0.499984740745262"/>
        <bgColor auto="1"/>
      </patternFill>
    </fill>
    <fill>
      <patternFill patternType="solid">
        <fgColor theme="5"/>
        <bgColor indexed="64"/>
      </patternFill>
    </fill>
    <fill>
      <patternFill patternType="solid">
        <fgColor theme="0" tint="-0.499984740745262"/>
        <bgColor indexed="64"/>
      </patternFill>
    </fill>
    <fill>
      <patternFill patternType="solid">
        <fgColor theme="9" tint="0.59999389629810485"/>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9" fillId="0" borderId="0"/>
    <xf numFmtId="0" fontId="83" fillId="0" borderId="0" applyNumberFormat="0" applyFill="0" applyBorder="0" applyAlignment="0" applyProtection="0"/>
  </cellStyleXfs>
  <cellXfs count="1075">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0" fontId="3" fillId="2" borderId="0" xfId="0" applyFont="1" applyFill="1"/>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4" borderId="9" xfId="1" applyNumberFormat="1" applyFont="1" applyFill="1" applyBorder="1" applyAlignment="1" applyProtection="1">
      <alignment horizontal="center" vertical="center"/>
      <protection hidden="1"/>
    </xf>
    <xf numFmtId="165" fontId="11" fillId="24" borderId="10"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6" fillId="23" borderId="9" xfId="2" applyFont="1" applyFill="1" applyBorder="1" applyAlignment="1" applyProtection="1">
      <alignment vertical="center"/>
      <protection hidden="1"/>
    </xf>
    <xf numFmtId="0" fontId="16" fillId="23" borderId="0" xfId="2" applyFont="1" applyFill="1" applyAlignment="1" applyProtection="1">
      <alignment vertical="center"/>
      <protection hidden="1"/>
    </xf>
    <xf numFmtId="0" fontId="16" fillId="23" borderId="0" xfId="2" applyFont="1" applyFill="1" applyAlignment="1" applyProtection="1">
      <alignment horizontal="center" vertical="center"/>
      <protection hidden="1"/>
    </xf>
    <xf numFmtId="0" fontId="16" fillId="23" borderId="10" xfId="2" applyFont="1" applyFill="1" applyBorder="1" applyAlignment="1" applyProtection="1">
      <alignment vertical="center"/>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6" fontId="11" fillId="26" borderId="13"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5" fontId="11" fillId="25" borderId="0" xfId="1" applyNumberFormat="1" applyFont="1" applyFill="1" applyBorder="1" applyAlignment="1" applyProtection="1">
      <alignment horizontal="center" vertical="center"/>
      <protection hidden="1"/>
    </xf>
    <xf numFmtId="166" fontId="22" fillId="26" borderId="11" xfId="0" applyNumberFormat="1" applyFont="1" applyFill="1" applyBorder="1" applyAlignment="1" applyProtection="1">
      <alignment horizontal="center" vertical="center"/>
      <protection hidden="1"/>
    </xf>
    <xf numFmtId="166" fontId="22" fillId="26" borderId="8" xfId="0"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24" borderId="14" xfId="1" applyNumberFormat="1" applyFont="1" applyFill="1" applyBorder="1" applyAlignment="1" applyProtection="1">
      <alignment horizontal="center" vertical="center"/>
      <protection hidden="1"/>
    </xf>
    <xf numFmtId="166" fontId="21" fillId="26" borderId="8" xfId="0" applyNumberFormat="1" applyFont="1" applyFill="1" applyBorder="1" applyAlignment="1" applyProtection="1">
      <alignment horizontal="center" vertical="center"/>
      <protection hidden="1"/>
    </xf>
    <xf numFmtId="0" fontId="3" fillId="30" borderId="0" xfId="0" applyFont="1" applyFill="1" applyProtection="1">
      <protection hidden="1"/>
    </xf>
    <xf numFmtId="166" fontId="29" fillId="30" borderId="0" xfId="0" applyNumberFormat="1" applyFont="1" applyFill="1" applyAlignment="1" applyProtection="1">
      <alignment vertical="top"/>
      <protection hidden="1"/>
    </xf>
    <xf numFmtId="166" fontId="29" fillId="30" borderId="10" xfId="0" applyNumberFormat="1" applyFont="1" applyFill="1" applyBorder="1" applyAlignment="1" applyProtection="1">
      <alignment vertical="top"/>
      <protection hidden="1"/>
    </xf>
    <xf numFmtId="166" fontId="29" fillId="30" borderId="32" xfId="0" applyNumberFormat="1" applyFont="1" applyFill="1" applyBorder="1" applyAlignment="1" applyProtection="1">
      <alignment vertical="top"/>
      <protection hidden="1"/>
    </xf>
    <xf numFmtId="166" fontId="29" fillId="30" borderId="5" xfId="0" applyNumberFormat="1" applyFont="1" applyFill="1" applyBorder="1" applyAlignment="1" applyProtection="1">
      <alignment vertical="top"/>
      <protection hidden="1"/>
    </xf>
    <xf numFmtId="166" fontId="29" fillId="30" borderId="9" xfId="0" applyNumberFormat="1" applyFont="1" applyFill="1" applyBorder="1" applyAlignment="1" applyProtection="1">
      <alignment vertical="top"/>
      <protection hidden="1"/>
    </xf>
    <xf numFmtId="166" fontId="29" fillId="30" borderId="4" xfId="0" applyNumberFormat="1" applyFont="1" applyFill="1" applyBorder="1" applyAlignment="1" applyProtection="1">
      <alignment vertical="top"/>
      <protection hidden="1"/>
    </xf>
    <xf numFmtId="0" fontId="3" fillId="30" borderId="9" xfId="0" applyFont="1" applyFill="1" applyBorder="1" applyProtection="1">
      <protection hidden="1"/>
    </xf>
    <xf numFmtId="165" fontId="11" fillId="32" borderId="9"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0" fontId="16" fillId="31" borderId="9" xfId="2" applyFont="1" applyFill="1" applyBorder="1" applyAlignment="1" applyProtection="1">
      <alignment vertical="center"/>
      <protection hidden="1"/>
    </xf>
    <xf numFmtId="0" fontId="16" fillId="31" borderId="0" xfId="2" applyFont="1" applyFill="1" applyAlignment="1" applyProtection="1">
      <alignment vertical="center"/>
      <protection hidden="1"/>
    </xf>
    <xf numFmtId="0" fontId="16" fillId="31" borderId="0" xfId="2" applyFont="1" applyFill="1" applyAlignment="1" applyProtection="1">
      <alignment horizontal="center" vertical="center"/>
      <protection hidden="1"/>
    </xf>
    <xf numFmtId="0" fontId="16" fillId="31" borderId="10" xfId="2" applyFont="1" applyFill="1" applyBorder="1" applyAlignment="1" applyProtection="1">
      <alignment vertical="center"/>
      <protection hidden="1"/>
    </xf>
    <xf numFmtId="0" fontId="13" fillId="33" borderId="0" xfId="2" applyFont="1" applyFill="1" applyAlignment="1" applyProtection="1">
      <alignment vertical="center"/>
      <protection hidden="1"/>
    </xf>
    <xf numFmtId="0" fontId="14" fillId="33" borderId="0" xfId="0" quotePrefix="1" applyFont="1" applyFill="1" applyAlignment="1" applyProtection="1">
      <alignment vertical="center" wrapText="1"/>
      <protection hidden="1"/>
    </xf>
    <xf numFmtId="0" fontId="3" fillId="33" borderId="0" xfId="0" applyFont="1" applyFill="1" applyProtection="1">
      <protection hidden="1"/>
    </xf>
    <xf numFmtId="165" fontId="11" fillId="33" borderId="0" xfId="1" applyNumberFormat="1" applyFont="1" applyFill="1" applyBorder="1" applyAlignment="1" applyProtection="1">
      <alignment horizontal="center" vertical="center"/>
      <protection hidden="1"/>
    </xf>
    <xf numFmtId="0" fontId="3" fillId="33" borderId="0" xfId="0" applyFont="1" applyFill="1"/>
    <xf numFmtId="0" fontId="21" fillId="33" borderId="0" xfId="0" applyFont="1" applyFill="1" applyAlignment="1">
      <alignment horizontal="center"/>
    </xf>
    <xf numFmtId="0" fontId="32" fillId="33" borderId="0" xfId="0" quotePrefix="1" applyFont="1" applyFill="1" applyAlignment="1">
      <alignment vertical="center" wrapText="1"/>
    </xf>
    <xf numFmtId="165" fontId="24" fillId="33" borderId="0" xfId="1" applyNumberFormat="1" applyFont="1" applyFill="1" applyBorder="1" applyAlignment="1" applyProtection="1">
      <alignment vertical="center"/>
      <protection hidden="1"/>
    </xf>
    <xf numFmtId="0" fontId="16" fillId="33" borderId="0" xfId="2" applyFont="1" applyFill="1" applyProtection="1">
      <protection hidden="1"/>
    </xf>
    <xf numFmtId="165" fontId="18" fillId="33" borderId="0" xfId="1" applyNumberFormat="1" applyFont="1" applyFill="1" applyBorder="1" applyAlignment="1" applyProtection="1">
      <alignment horizontal="center" vertical="center"/>
      <protection hidden="1"/>
    </xf>
    <xf numFmtId="165" fontId="20" fillId="33" borderId="0" xfId="1" applyNumberFormat="1" applyFont="1" applyFill="1" applyBorder="1" applyAlignment="1" applyProtection="1">
      <alignment horizontal="center" vertical="center"/>
      <protection hidden="1"/>
    </xf>
    <xf numFmtId="169" fontId="24" fillId="33" borderId="0" xfId="0" quotePrefix="1" applyNumberFormat="1" applyFont="1" applyFill="1" applyAlignment="1" applyProtection="1">
      <alignment horizontal="right" vertical="center"/>
      <protection hidden="1"/>
    </xf>
    <xf numFmtId="169" fontId="22" fillId="33" borderId="0" xfId="0" quotePrefix="1" applyNumberFormat="1" applyFont="1" applyFill="1" applyAlignment="1" applyProtection="1">
      <alignment horizontal="center"/>
      <protection hidden="1"/>
    </xf>
    <xf numFmtId="0" fontId="34" fillId="33" borderId="0" xfId="2" applyFont="1" applyFill="1" applyAlignment="1" applyProtection="1">
      <alignment vertical="center"/>
      <protection hidden="1"/>
    </xf>
    <xf numFmtId="169" fontId="11" fillId="33" borderId="0" xfId="0" quotePrefix="1" applyNumberFormat="1" applyFont="1" applyFill="1" applyAlignment="1" applyProtection="1">
      <alignment horizontal="center"/>
      <protection hidden="1"/>
    </xf>
    <xf numFmtId="166" fontId="29" fillId="33" borderId="0" xfId="0" applyNumberFormat="1" applyFont="1" applyFill="1" applyAlignment="1" applyProtection="1">
      <alignment vertical="top"/>
      <protection hidden="1"/>
    </xf>
    <xf numFmtId="170" fontId="30" fillId="33" borderId="18" xfId="0" quotePrefix="1" applyNumberFormat="1" applyFont="1" applyFill="1" applyBorder="1" applyAlignment="1" applyProtection="1">
      <alignment vertical="center" wrapText="1"/>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vertical="center"/>
      <protection hidden="1"/>
    </xf>
    <xf numFmtId="165" fontId="11" fillId="32" borderId="10" xfId="1" applyNumberFormat="1" applyFont="1" applyFill="1" applyBorder="1" applyAlignment="1" applyProtection="1">
      <alignment vertical="center"/>
      <protection hidden="1"/>
    </xf>
    <xf numFmtId="0" fontId="17" fillId="31" borderId="9" xfId="2" applyFont="1" applyFill="1" applyBorder="1" applyProtection="1">
      <protection hidden="1"/>
    </xf>
    <xf numFmtId="0" fontId="17" fillId="31" borderId="10" xfId="2" applyFont="1" applyFill="1" applyBorder="1" applyProtection="1">
      <protection hidden="1"/>
    </xf>
    <xf numFmtId="0" fontId="25" fillId="35" borderId="9" xfId="2" applyFont="1" applyFill="1" applyBorder="1" applyAlignment="1" applyProtection="1">
      <alignment horizontal="center" vertical="center"/>
      <protection hidden="1"/>
    </xf>
    <xf numFmtId="14" fontId="25" fillId="35" borderId="10" xfId="2" quotePrefix="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165" fontId="11" fillId="32"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0" fontId="3" fillId="35" borderId="10" xfId="0" applyFont="1" applyFill="1" applyBorder="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0" fontId="3" fillId="35" borderId="4" xfId="0" applyFont="1" applyFill="1" applyBorder="1" applyProtection="1">
      <protection hidden="1"/>
    </xf>
    <xf numFmtId="166" fontId="29" fillId="35" borderId="9" xfId="0" applyNumberFormat="1" applyFont="1" applyFill="1" applyBorder="1" applyAlignment="1" applyProtection="1">
      <alignment vertical="top"/>
      <protection hidden="1"/>
    </xf>
    <xf numFmtId="166" fontId="29" fillId="35" borderId="1" xfId="0" applyNumberFormat="1" applyFont="1" applyFill="1" applyBorder="1" applyAlignment="1" applyProtection="1">
      <alignment vertical="top"/>
      <protection hidden="1"/>
    </xf>
    <xf numFmtId="166" fontId="29" fillId="35" borderId="3" xfId="0" applyNumberFormat="1" applyFont="1" applyFill="1" applyBorder="1" applyAlignment="1" applyProtection="1">
      <alignment vertical="top"/>
      <protection hidden="1"/>
    </xf>
    <xf numFmtId="166" fontId="29" fillId="35" borderId="2"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0" fontId="3" fillId="35" borderId="9" xfId="0" applyFont="1" applyFill="1" applyBorder="1" applyProtection="1">
      <protection hidden="1"/>
    </xf>
    <xf numFmtId="166" fontId="11" fillId="18" borderId="11" xfId="0" applyNumberFormat="1" applyFont="1" applyFill="1" applyBorder="1" applyAlignment="1" applyProtection="1">
      <alignment horizontal="center" vertical="center"/>
      <protection hidden="1"/>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65" fontId="11" fillId="24" borderId="1" xfId="1" applyNumberFormat="1" applyFont="1" applyFill="1" applyBorder="1" applyAlignment="1" applyProtection="1">
      <alignment horizontal="center" vertical="center"/>
      <protection hidden="1"/>
    </xf>
    <xf numFmtId="165" fontId="11" fillId="24" borderId="3" xfId="1" applyNumberFormat="1" applyFont="1" applyFill="1" applyBorder="1" applyAlignment="1" applyProtection="1">
      <alignment horizontal="center" vertical="center"/>
      <protection hidden="1"/>
    </xf>
    <xf numFmtId="166" fontId="21" fillId="26" borderId="36" xfId="0" applyNumberFormat="1" applyFont="1" applyFill="1" applyBorder="1" applyAlignment="1" applyProtection="1">
      <alignment horizontal="center" vertical="center"/>
      <protection hidden="1"/>
    </xf>
    <xf numFmtId="166" fontId="21" fillId="26" borderId="14" xfId="0"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vertical="center"/>
      <protection hidden="1"/>
    </xf>
    <xf numFmtId="0" fontId="17" fillId="23" borderId="0" xfId="2" applyFont="1" applyFill="1" applyProtection="1">
      <protection hidden="1"/>
    </xf>
    <xf numFmtId="165" fontId="11" fillId="30" borderId="0" xfId="1" applyNumberFormat="1" applyFont="1" applyFill="1" applyBorder="1" applyAlignment="1" applyProtection="1">
      <alignment horizontal="center" vertical="center"/>
      <protection hidden="1"/>
    </xf>
    <xf numFmtId="0" fontId="36" fillId="30" borderId="0" xfId="3" applyFont="1" applyFill="1" applyBorder="1" applyAlignment="1">
      <alignment vertical="center"/>
    </xf>
    <xf numFmtId="165" fontId="11" fillId="32" borderId="1" xfId="1" applyNumberFormat="1" applyFont="1" applyFill="1" applyBorder="1" applyAlignment="1" applyProtection="1">
      <alignment horizontal="center" vertical="center"/>
      <protection hidden="1"/>
    </xf>
    <xf numFmtId="165" fontId="11" fillId="32" borderId="3" xfId="1" applyNumberFormat="1" applyFont="1" applyFill="1" applyBorder="1" applyAlignment="1" applyProtection="1">
      <alignment horizontal="center" vertical="center"/>
      <protection hidden="1"/>
    </xf>
    <xf numFmtId="165" fontId="11" fillId="32" borderId="2"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vertical="center"/>
      <protection hidden="1"/>
    </xf>
    <xf numFmtId="0" fontId="17" fillId="31" borderId="0" xfId="2" applyFont="1" applyFill="1" applyProtection="1">
      <protection hidden="1"/>
    </xf>
    <xf numFmtId="0" fontId="3" fillId="35" borderId="4" xfId="0" applyFont="1" applyFill="1" applyBorder="1"/>
    <xf numFmtId="0" fontId="3" fillId="35" borderId="32" xfId="0" applyFont="1" applyFill="1" applyBorder="1"/>
    <xf numFmtId="0" fontId="20" fillId="35" borderId="0" xfId="0" quotePrefix="1" applyFont="1" applyFill="1" applyAlignment="1" applyProtection="1">
      <alignment horizontal="center" vertical="center"/>
      <protection hidden="1"/>
    </xf>
    <xf numFmtId="168" fontId="20" fillId="35" borderId="0" xfId="1" applyNumberFormat="1" applyFont="1" applyFill="1" applyBorder="1" applyAlignment="1" applyProtection="1">
      <alignment horizontal="center" vertical="center"/>
      <protection hidden="1"/>
    </xf>
    <xf numFmtId="0" fontId="3" fillId="35" borderId="5" xfId="0" applyFont="1" applyFill="1" applyBorder="1"/>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6"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7" borderId="20" xfId="0" applyFill="1" applyBorder="1"/>
    <xf numFmtId="0" fontId="46" fillId="37" borderId="20" xfId="0" applyFont="1" applyFill="1" applyBorder="1" applyProtection="1">
      <protection hidden="1"/>
    </xf>
    <xf numFmtId="0" fontId="63" fillId="37" borderId="1" xfId="0" applyFont="1" applyFill="1" applyBorder="1" applyProtection="1">
      <protection hidden="1"/>
    </xf>
    <xf numFmtId="0" fontId="64" fillId="37" borderId="20" xfId="0" applyFont="1" applyFill="1" applyBorder="1" applyAlignment="1" applyProtection="1">
      <alignment horizontal="left"/>
      <protection hidden="1"/>
    </xf>
    <xf numFmtId="0" fontId="65" fillId="37" borderId="20" xfId="0" applyFont="1" applyFill="1" applyBorder="1"/>
    <xf numFmtId="0" fontId="63" fillId="37" borderId="9" xfId="0" applyFont="1" applyFill="1" applyBorder="1" applyProtection="1">
      <protection hidden="1"/>
    </xf>
    <xf numFmtId="0" fontId="65" fillId="37" borderId="4" xfId="0" applyFont="1" applyFill="1" applyBorder="1"/>
    <xf numFmtId="0" fontId="44" fillId="37" borderId="7" xfId="0" applyFont="1" applyFill="1" applyBorder="1" applyAlignment="1" applyProtection="1">
      <alignment horizontal="left"/>
      <protection hidden="1"/>
    </xf>
    <xf numFmtId="0" fontId="0" fillId="37"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7" borderId="0" xfId="0" applyFill="1"/>
    <xf numFmtId="0" fontId="46" fillId="37" borderId="0" xfId="0" applyFont="1" applyFill="1" applyProtection="1">
      <protection hidden="1"/>
    </xf>
    <xf numFmtId="0" fontId="45" fillId="37" borderId="0" xfId="0" applyFont="1" applyFill="1" applyProtection="1">
      <protection hidden="1"/>
    </xf>
    <xf numFmtId="0" fontId="52" fillId="37" borderId="7" xfId="0" applyFont="1" applyFill="1" applyBorder="1" applyAlignment="1" applyProtection="1">
      <alignment horizontal="left"/>
      <protection hidden="1"/>
    </xf>
    <xf numFmtId="0" fontId="25" fillId="37" borderId="0" xfId="0" applyFont="1" applyFill="1"/>
    <xf numFmtId="0" fontId="25" fillId="37" borderId="0" xfId="0" applyFont="1" applyFill="1" applyProtection="1">
      <protection hidden="1"/>
    </xf>
    <xf numFmtId="0" fontId="47" fillId="37" borderId="0" xfId="0" applyFont="1" applyFill="1" applyProtection="1">
      <protection hidden="1"/>
    </xf>
    <xf numFmtId="0" fontId="50" fillId="37" borderId="0" xfId="0" applyFont="1" applyFill="1" applyProtection="1">
      <protection hidden="1"/>
    </xf>
    <xf numFmtId="0" fontId="0" fillId="37" borderId="20" xfId="0" applyFill="1" applyBorder="1" applyProtection="1">
      <protection hidden="1"/>
    </xf>
    <xf numFmtId="0" fontId="46" fillId="37" borderId="20" xfId="0" applyFont="1" applyFill="1" applyBorder="1" applyAlignment="1" applyProtection="1">
      <alignment horizontal="left"/>
      <protection hidden="1"/>
    </xf>
    <xf numFmtId="0" fontId="0" fillId="37" borderId="20" xfId="0" applyFill="1" applyBorder="1" applyAlignment="1" applyProtection="1">
      <alignment horizontal="left"/>
      <protection hidden="1"/>
    </xf>
    <xf numFmtId="0" fontId="0" fillId="37"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7" borderId="0" xfId="0" applyFill="1" applyAlignment="1" applyProtection="1">
      <alignment horizontal="left" vertical="center" wrapText="1"/>
      <protection hidden="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165" fontId="48" fillId="37"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64" fillId="37" borderId="29" xfId="0" applyFont="1" applyFill="1" applyBorder="1" applyProtection="1">
      <protection hidden="1"/>
    </xf>
    <xf numFmtId="0" fontId="65" fillId="37" borderId="29" xfId="0" applyFont="1" applyFill="1" applyBorder="1"/>
    <xf numFmtId="0" fontId="64" fillId="0" borderId="0" xfId="0" applyFont="1" applyProtection="1">
      <protection hidden="1"/>
    </xf>
    <xf numFmtId="0" fontId="65" fillId="0" borderId="0" xfId="0" applyFont="1"/>
    <xf numFmtId="0" fontId="43" fillId="0" borderId="0" xfId="0" applyFont="1" applyProtection="1">
      <protection hidden="1"/>
    </xf>
    <xf numFmtId="0" fontId="66" fillId="0" borderId="0" xfId="0" applyFont="1" applyProtection="1">
      <protection hidden="1"/>
    </xf>
    <xf numFmtId="0" fontId="0" fillId="37"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7" borderId="0" xfId="0" applyFont="1" applyFill="1" applyProtection="1">
      <protection hidden="1"/>
    </xf>
    <xf numFmtId="0" fontId="0" fillId="37" borderId="0" xfId="0" applyFill="1" applyAlignment="1" applyProtection="1">
      <alignment horizontal="center" vertical="center"/>
      <protection hidden="1"/>
    </xf>
    <xf numFmtId="165" fontId="11" fillId="24" borderId="27" xfId="1" applyNumberFormat="1" applyFont="1" applyFill="1" applyBorder="1" applyAlignment="1" applyProtection="1">
      <alignment horizontal="center" vertical="center"/>
      <protection hidden="1"/>
    </xf>
    <xf numFmtId="170" fontId="41" fillId="30" borderId="4" xfId="0" quotePrefix="1" applyNumberFormat="1" applyFont="1" applyFill="1" applyBorder="1" applyAlignment="1" applyProtection="1">
      <alignment vertical="center" wrapText="1"/>
      <protection hidden="1"/>
    </xf>
    <xf numFmtId="170" fontId="41" fillId="30" borderId="32" xfId="0" quotePrefix="1" applyNumberFormat="1" applyFont="1" applyFill="1" applyBorder="1" applyAlignment="1" applyProtection="1">
      <alignment vertical="center" wrapText="1"/>
      <protection hidden="1"/>
    </xf>
    <xf numFmtId="0" fontId="3" fillId="30" borderId="3" xfId="0" applyFont="1" applyFill="1" applyBorder="1"/>
    <xf numFmtId="0" fontId="3" fillId="30" borderId="10" xfId="0" applyFont="1" applyFill="1" applyBorder="1"/>
    <xf numFmtId="0" fontId="3" fillId="30" borderId="32" xfId="0" applyFont="1" applyFill="1" applyBorder="1"/>
    <xf numFmtId="0" fontId="3" fillId="30" borderId="5" xfId="0" applyFont="1" applyFill="1" applyBorder="1"/>
    <xf numFmtId="165" fontId="11" fillId="30" borderId="20" xfId="1" applyNumberFormat="1" applyFont="1" applyFill="1" applyBorder="1" applyAlignment="1" applyProtection="1">
      <alignment horizontal="center" vertical="center"/>
      <protection hidden="1"/>
    </xf>
    <xf numFmtId="0" fontId="3" fillId="30" borderId="0" xfId="0" applyFont="1" applyFill="1"/>
    <xf numFmtId="165" fontId="11" fillId="30" borderId="14" xfId="1" applyNumberFormat="1" applyFont="1" applyFill="1" applyBorder="1" applyAlignment="1" applyProtection="1">
      <alignment horizontal="center" vertical="center"/>
      <protection hidden="1"/>
    </xf>
    <xf numFmtId="0" fontId="20" fillId="30" borderId="0" xfId="0" quotePrefix="1" applyFont="1" applyFill="1" applyAlignment="1" applyProtection="1">
      <alignment horizontal="center" vertical="center"/>
      <protection hidden="1"/>
    </xf>
    <xf numFmtId="168" fontId="20" fillId="30" borderId="10" xfId="1" applyNumberFormat="1" applyFont="1" applyFill="1" applyBorder="1" applyAlignment="1" applyProtection="1">
      <alignment horizontal="center" vertical="center"/>
      <protection hidden="1"/>
    </xf>
    <xf numFmtId="170" fontId="41" fillId="30" borderId="9" xfId="0" quotePrefix="1" applyNumberFormat="1" applyFont="1" applyFill="1" applyBorder="1" applyAlignment="1" applyProtection="1">
      <alignment vertical="center" wrapText="1"/>
      <protection hidden="1"/>
    </xf>
    <xf numFmtId="170" fontId="41" fillId="30" borderId="0" xfId="0" quotePrefix="1" applyNumberFormat="1" applyFont="1" applyFill="1" applyAlignment="1" applyProtection="1">
      <alignment vertical="center" wrapText="1"/>
      <protection hidden="1"/>
    </xf>
    <xf numFmtId="166" fontId="22" fillId="26" borderId="27" xfId="0" applyNumberFormat="1" applyFont="1" applyFill="1" applyBorder="1" applyAlignment="1" applyProtection="1">
      <alignment horizontal="center" vertical="center"/>
      <protection hidden="1"/>
    </xf>
    <xf numFmtId="168" fontId="22" fillId="0" borderId="27" xfId="1" applyNumberFormat="1" applyFont="1" applyFill="1" applyBorder="1" applyAlignment="1" applyProtection="1">
      <alignment horizontal="center" vertical="center"/>
      <protection hidden="1"/>
    </xf>
    <xf numFmtId="166" fontId="25" fillId="0" borderId="27" xfId="0" quotePrefix="1" applyNumberFormat="1" applyFont="1" applyBorder="1" applyAlignment="1" applyProtection="1">
      <alignment horizontal="center" vertical="center"/>
      <protection hidden="1"/>
    </xf>
    <xf numFmtId="170" fontId="37" fillId="30" borderId="0" xfId="0" quotePrefix="1" applyNumberFormat="1" applyFont="1" applyFill="1" applyAlignment="1" applyProtection="1">
      <alignment vertical="center" wrapText="1"/>
      <protection hidden="1"/>
    </xf>
    <xf numFmtId="170" fontId="37" fillId="30" borderId="32" xfId="0" quotePrefix="1" applyNumberFormat="1" applyFont="1" applyFill="1" applyBorder="1" applyAlignment="1" applyProtection="1">
      <alignment vertical="center" wrapText="1"/>
      <protection hidden="1"/>
    </xf>
    <xf numFmtId="0" fontId="13" fillId="33" borderId="61" xfId="2" applyFont="1" applyFill="1" applyBorder="1" applyAlignment="1" applyProtection="1">
      <alignment vertical="center"/>
      <protection hidden="1"/>
    </xf>
    <xf numFmtId="0" fontId="13" fillId="33" borderId="55" xfId="2" applyFont="1" applyFill="1" applyBorder="1" applyAlignment="1" applyProtection="1">
      <alignment vertical="center"/>
      <protection hidden="1"/>
    </xf>
    <xf numFmtId="168" fontId="22" fillId="0" borderId="57" xfId="1" applyNumberFormat="1" applyFont="1" applyFill="1" applyBorder="1" applyAlignment="1" applyProtection="1">
      <alignment horizontal="center" vertical="center"/>
      <protection hidden="1"/>
    </xf>
    <xf numFmtId="166" fontId="22" fillId="26" borderId="7" xfId="0" applyNumberFormat="1" applyFont="1" applyFill="1" applyBorder="1" applyAlignment="1" applyProtection="1">
      <alignment horizontal="center" vertical="center"/>
      <protection hidden="1"/>
    </xf>
    <xf numFmtId="168" fontId="22" fillId="0" borderId="27" xfId="1" applyNumberFormat="1" applyFont="1" applyBorder="1" applyAlignment="1" applyProtection="1">
      <alignment horizontal="center" vertical="center"/>
      <protection hidden="1"/>
    </xf>
    <xf numFmtId="0" fontId="32" fillId="6" borderId="18" xfId="0" quotePrefix="1" applyFont="1" applyFill="1" applyBorder="1" applyAlignment="1" applyProtection="1">
      <alignment horizontal="center" vertical="center"/>
      <protection hidden="1"/>
    </xf>
    <xf numFmtId="0" fontId="20" fillId="6" borderId="18" xfId="0" quotePrefix="1" applyFont="1" applyFill="1" applyBorder="1" applyAlignment="1" applyProtection="1">
      <alignment horizontal="center" vertical="center"/>
      <protection hidden="1"/>
    </xf>
    <xf numFmtId="0" fontId="3" fillId="33" borderId="61" xfId="0" applyFont="1" applyFill="1" applyBorder="1" applyProtection="1">
      <protection hidden="1"/>
    </xf>
    <xf numFmtId="0" fontId="3" fillId="33" borderId="55" xfId="0" applyFont="1" applyFill="1" applyBorder="1" applyProtection="1">
      <protection hidden="1"/>
    </xf>
    <xf numFmtId="0" fontId="3" fillId="33" borderId="60" xfId="0" applyFont="1" applyFill="1" applyBorder="1" applyProtection="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30"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30"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69" xfId="6" applyFont="1" applyBorder="1" applyAlignment="1">
      <alignment horizontal="center" vertical="center" wrapText="1"/>
    </xf>
    <xf numFmtId="0" fontId="75" fillId="0" borderId="69" xfId="6" applyFont="1" applyBorder="1" applyAlignment="1">
      <alignment horizontal="center" vertical="center" wrapText="1"/>
    </xf>
    <xf numFmtId="0" fontId="73" fillId="40" borderId="69"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75" fillId="40" borderId="69" xfId="6" applyFont="1" applyFill="1" applyBorder="1" applyAlignment="1">
      <alignment horizontal="center" vertical="center" wrapText="1"/>
    </xf>
    <xf numFmtId="0" fontId="70" fillId="0" borderId="69" xfId="6" applyFont="1" applyBorder="1" applyAlignment="1">
      <alignment horizontal="center" vertical="center" wrapText="1"/>
    </xf>
    <xf numFmtId="0" fontId="75" fillId="41" borderId="69" xfId="6" applyFont="1" applyFill="1" applyBorder="1" applyAlignment="1">
      <alignment horizontal="center" vertical="center" wrapText="1"/>
    </xf>
    <xf numFmtId="0" fontId="70" fillId="0" borderId="66" xfId="6" applyFont="1" applyBorder="1" applyAlignment="1">
      <alignment horizontal="center" vertical="center" wrapText="1"/>
    </xf>
    <xf numFmtId="0" fontId="70" fillId="0" borderId="68" xfId="6" applyFont="1" applyBorder="1" applyAlignment="1">
      <alignment horizontal="center" vertical="center" wrapText="1"/>
    </xf>
    <xf numFmtId="169" fontId="27" fillId="28"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8" borderId="14" xfId="0" applyNumberFormat="1" applyFont="1" applyFill="1" applyBorder="1" applyAlignment="1" applyProtection="1">
      <alignment horizontal="center" vertical="center"/>
      <protection locked="0"/>
    </xf>
    <xf numFmtId="174" fontId="27" fillId="28" borderId="14" xfId="0" applyNumberFormat="1" applyFont="1" applyFill="1" applyBorder="1" applyAlignment="1" applyProtection="1">
      <alignment horizontal="center" vertical="center"/>
      <protection hidden="1"/>
    </xf>
    <xf numFmtId="174" fontId="27" fillId="28" borderId="14" xfId="0" applyNumberFormat="1" applyFont="1" applyFill="1" applyBorder="1" applyAlignment="1" applyProtection="1">
      <alignment horizontal="center" vertical="center"/>
      <protection locked="0"/>
    </xf>
    <xf numFmtId="169" fontId="27" fillId="28" borderId="14" xfId="0" applyNumberFormat="1" applyFont="1" applyFill="1" applyBorder="1" applyAlignment="1" applyProtection="1">
      <alignment horizontal="center" vertical="center"/>
      <protection hidden="1"/>
    </xf>
    <xf numFmtId="0" fontId="3" fillId="33" borderId="9" xfId="0" applyFont="1" applyFill="1" applyBorder="1" applyProtection="1">
      <protection hidden="1"/>
    </xf>
    <xf numFmtId="169"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hidden="1"/>
    </xf>
    <xf numFmtId="169" fontId="27" fillId="28" borderId="56"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6" fillId="37"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7" borderId="60" xfId="0" applyNumberFormat="1" applyFont="1" applyFill="1" applyBorder="1" applyAlignment="1">
      <alignment horizontal="center"/>
    </xf>
    <xf numFmtId="0" fontId="84"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2" xfId="0" applyFont="1" applyBorder="1" applyAlignment="1">
      <alignment horizontal="left" wrapText="1"/>
    </xf>
    <xf numFmtId="0" fontId="51" fillId="0" borderId="82" xfId="0" applyFont="1" applyBorder="1" applyAlignment="1">
      <alignment horizontal="left" vertical="top" wrapText="1" indent="1"/>
    </xf>
    <xf numFmtId="0" fontId="51" fillId="0" borderId="82" xfId="0" applyFont="1" applyBorder="1" applyAlignment="1">
      <alignment horizontal="left" vertical="top" wrapText="1"/>
    </xf>
    <xf numFmtId="0" fontId="1" fillId="0" borderId="0" xfId="0" applyFont="1"/>
    <xf numFmtId="0" fontId="89" fillId="0" borderId="0" xfId="0" applyFont="1" applyAlignment="1">
      <alignment vertical="center" wrapText="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166" fontId="22" fillId="0" borderId="27" xfId="0" applyNumberFormat="1" applyFont="1" applyBorder="1" applyAlignment="1" applyProtection="1">
      <alignment horizontal="center" vertic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6"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0" fontId="3" fillId="0" borderId="0" xfId="0" applyFont="1" applyAlignment="1" applyProtection="1">
      <alignment wrapText="1"/>
      <protection hidden="1"/>
    </xf>
    <xf numFmtId="169" fontId="27" fillId="44" borderId="56" xfId="0" applyNumberFormat="1" applyFont="1" applyFill="1" applyBorder="1" applyAlignment="1" applyProtection="1">
      <alignment horizontal="center" vertical="center"/>
      <protection hidden="1"/>
    </xf>
    <xf numFmtId="0" fontId="16" fillId="23" borderId="4" xfId="2" applyFont="1" applyFill="1" applyBorder="1" applyAlignment="1" applyProtection="1">
      <alignment horizontal="center" vertical="center"/>
      <protection hidden="1"/>
    </xf>
    <xf numFmtId="0" fontId="16" fillId="23" borderId="32" xfId="2" applyFont="1" applyFill="1" applyBorder="1" applyAlignment="1" applyProtection="1">
      <alignment horizontal="center" vertical="center"/>
      <protection hidden="1"/>
    </xf>
    <xf numFmtId="0" fontId="16" fillId="23" borderId="5"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0" fontId="16" fillId="23" borderId="3"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165" fontId="11" fillId="24" borderId="63" xfId="1" applyNumberFormat="1" applyFont="1" applyFill="1" applyBorder="1" applyAlignment="1" applyProtection="1">
      <alignment horizontal="center" vertical="center"/>
      <protection hidden="1"/>
    </xf>
    <xf numFmtId="165" fontId="11" fillId="24" borderId="65" xfId="1" applyNumberFormat="1" applyFont="1" applyFill="1" applyBorder="1" applyAlignment="1" applyProtection="1">
      <alignment horizontal="center" vertical="center"/>
      <protection hidden="1"/>
    </xf>
    <xf numFmtId="0" fontId="16" fillId="23" borderId="1" xfId="2" applyFont="1" applyFill="1" applyBorder="1" applyAlignment="1" applyProtection="1">
      <alignment horizontal="center" vertical="center"/>
      <protection hidden="1"/>
    </xf>
    <xf numFmtId="0" fontId="16" fillId="23" borderId="2" xfId="2"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65" fontId="11" fillId="24" borderId="2" xfId="1"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vertical="center"/>
      <protection locked="0"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8" borderId="29" xfId="0" applyFont="1" applyFill="1" applyBorder="1" applyAlignment="1" applyProtection="1">
      <alignment horizontal="center"/>
      <protection hidden="1"/>
    </xf>
    <xf numFmtId="169" fontId="102"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4"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8"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5" xfId="1" applyNumberFormat="1" applyFont="1" applyBorder="1" applyAlignment="1" applyProtection="1">
      <alignment horizontal="center" vertical="top"/>
      <protection hidden="1"/>
    </xf>
    <xf numFmtId="165" fontId="56" fillId="0" borderId="96"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7"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8"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166" fontId="29" fillId="30" borderId="1" xfId="0" applyNumberFormat="1" applyFont="1" applyFill="1" applyBorder="1" applyAlignment="1" applyProtection="1">
      <alignment vertical="top"/>
      <protection hidden="1"/>
    </xf>
    <xf numFmtId="166" fontId="29" fillId="30" borderId="3" xfId="0" applyNumberFormat="1" applyFont="1" applyFill="1" applyBorder="1" applyAlignment="1" applyProtection="1">
      <alignment vertical="top"/>
      <protection hidden="1"/>
    </xf>
    <xf numFmtId="166" fontId="29" fillId="30" borderId="63" xfId="0" applyNumberFormat="1" applyFont="1" applyFill="1" applyBorder="1" applyAlignment="1" applyProtection="1">
      <alignment vertical="top"/>
      <protection hidden="1"/>
    </xf>
    <xf numFmtId="166" fontId="29" fillId="30" borderId="64" xfId="0" applyNumberFormat="1" applyFont="1" applyFill="1" applyBorder="1" applyAlignment="1" applyProtection="1">
      <alignment vertical="top"/>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8"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7" borderId="7" xfId="0" applyFont="1" applyFill="1" applyBorder="1"/>
    <xf numFmtId="0" fontId="0" fillId="37"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106" fillId="30" borderId="9" xfId="0" applyNumberFormat="1" applyFont="1" applyFill="1" applyBorder="1" applyAlignment="1" applyProtection="1">
      <alignment vertical="top"/>
      <protection hidden="1"/>
    </xf>
    <xf numFmtId="0" fontId="107" fillId="30" borderId="0" xfId="0" applyFont="1" applyFill="1"/>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9" fillId="6" borderId="9" xfId="2" applyFont="1" applyFill="1" applyBorder="1" applyAlignment="1" applyProtection="1">
      <alignment horizontal="center" vertical="center" wrapText="1"/>
      <protection hidden="1"/>
    </xf>
    <xf numFmtId="0" fontId="99" fillId="6" borderId="0" xfId="2" applyFont="1" applyFill="1" applyAlignment="1" applyProtection="1">
      <alignment horizontal="center" vertical="center" wrapText="1"/>
      <protection hidden="1"/>
    </xf>
    <xf numFmtId="0" fontId="99" fillId="6" borderId="10" xfId="2" applyFont="1" applyFill="1" applyBorder="1" applyAlignment="1" applyProtection="1">
      <alignment horizontal="center" vertical="center" wrapText="1"/>
      <protection hidden="1"/>
    </xf>
    <xf numFmtId="0" fontId="99" fillId="6" borderId="4" xfId="2" applyFont="1" applyFill="1" applyBorder="1" applyAlignment="1" applyProtection="1">
      <alignment horizontal="center" vertical="center" wrapText="1"/>
      <protection hidden="1"/>
    </xf>
    <xf numFmtId="0" fontId="99" fillId="6" borderId="32" xfId="2" applyFont="1" applyFill="1" applyBorder="1" applyAlignment="1" applyProtection="1">
      <alignment horizontal="center" vertical="center" wrapText="1"/>
      <protection hidden="1"/>
    </xf>
    <xf numFmtId="0" fontId="99" fillId="6" borderId="5" xfId="2" applyFont="1" applyFill="1" applyBorder="1" applyAlignment="1" applyProtection="1">
      <alignment horizontal="center" vertical="center" wrapText="1"/>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78" fillId="0" borderId="63" xfId="6" applyFont="1" applyBorder="1" applyAlignment="1">
      <alignment horizontal="center" vertical="center"/>
    </xf>
    <xf numFmtId="0" fontId="78" fillId="0" borderId="65"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0"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1" xfId="6" applyFont="1" applyBorder="1" applyAlignment="1">
      <alignment horizontal="center" vertical="center"/>
    </xf>
    <xf numFmtId="0" fontId="78" fillId="0" borderId="72" xfId="6" applyFont="1" applyBorder="1" applyAlignment="1">
      <alignment horizontal="center" vertical="center"/>
    </xf>
    <xf numFmtId="0" fontId="70" fillId="0" borderId="73" xfId="6" applyFont="1" applyBorder="1" applyAlignment="1">
      <alignment horizontal="center" vertical="center"/>
    </xf>
    <xf numFmtId="0" fontId="70" fillId="0" borderId="74" xfId="6" applyFont="1" applyBorder="1" applyAlignment="1">
      <alignment horizontal="center" vertical="center"/>
    </xf>
    <xf numFmtId="0" fontId="75" fillId="42" borderId="68" xfId="6" applyFont="1" applyFill="1" applyBorder="1" applyAlignment="1">
      <alignment horizontal="center" vertical="center" wrapText="1"/>
    </xf>
    <xf numFmtId="0" fontId="75" fillId="42" borderId="67" xfId="6" applyFont="1" applyFill="1" applyBorder="1" applyAlignment="1">
      <alignment horizontal="center" vertical="center" wrapText="1"/>
    </xf>
    <xf numFmtId="0" fontId="75" fillId="42" borderId="66" xfId="6" applyFont="1" applyFill="1" applyBorder="1" applyAlignment="1">
      <alignment horizontal="center" vertical="center" wrapText="1"/>
    </xf>
    <xf numFmtId="0" fontId="71" fillId="39" borderId="68" xfId="6" applyFont="1" applyFill="1" applyBorder="1" applyAlignment="1">
      <alignment horizontal="center" vertical="center" wrapText="1"/>
    </xf>
    <xf numFmtId="0" fontId="71" fillId="39" borderId="67" xfId="6" applyFont="1" applyFill="1" applyBorder="1" applyAlignment="1">
      <alignment horizontal="center" vertical="center" wrapText="1"/>
    </xf>
    <xf numFmtId="0" fontId="71" fillId="39" borderId="66" xfId="6" applyFont="1" applyFill="1" applyBorder="1" applyAlignment="1">
      <alignment horizontal="center" vertical="center" wrapText="1"/>
    </xf>
    <xf numFmtId="0" fontId="70" fillId="40" borderId="68" xfId="6" applyFont="1" applyFill="1" applyBorder="1" applyAlignment="1">
      <alignment horizontal="center" vertical="center" wrapText="1"/>
    </xf>
    <xf numFmtId="0" fontId="70" fillId="40" borderId="66" xfId="6" applyFont="1" applyFill="1" applyBorder="1" applyAlignment="1">
      <alignment horizontal="center" vertical="center" wrapText="1"/>
    </xf>
    <xf numFmtId="0" fontId="75" fillId="0" borderId="68" xfId="6" applyFont="1" applyBorder="1" applyAlignment="1">
      <alignment horizontal="center" vertical="center" wrapText="1"/>
    </xf>
    <xf numFmtId="0" fontId="75" fillId="0" borderId="66" xfId="6" applyFont="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6" xfId="6" applyFont="1" applyFill="1" applyBorder="1" applyAlignment="1">
      <alignment horizontal="center" vertical="center" wrapText="1"/>
    </xf>
    <xf numFmtId="0" fontId="70" fillId="0" borderId="68" xfId="6" applyFont="1" applyBorder="1" applyAlignment="1">
      <alignment horizontal="center" vertical="center" wrapText="1"/>
    </xf>
    <xf numFmtId="0" fontId="70" fillId="0" borderId="66" xfId="6" applyFont="1" applyBorder="1" applyAlignment="1">
      <alignment horizontal="center" vertical="center" wrapText="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166" fontId="80" fillId="0" borderId="70"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165" fontId="97" fillId="6" borderId="9" xfId="2" applyNumberFormat="1" applyFont="1" applyFill="1" applyBorder="1" applyAlignment="1" applyProtection="1">
      <alignment horizontal="center" vertical="center" wrapText="1"/>
      <protection hidden="1"/>
    </xf>
    <xf numFmtId="165" fontId="97"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0" fillId="0" borderId="7" xfId="0" applyBorder="1" applyAlignment="1">
      <alignment horizontal="center" vertical="center"/>
    </xf>
    <xf numFmtId="0" fontId="40" fillId="11" borderId="26" xfId="0" quotePrefix="1" applyFont="1" applyFill="1" applyBorder="1" applyAlignment="1" applyProtection="1">
      <alignment horizontal="center" vertical="center"/>
      <protection hidden="1"/>
    </xf>
    <xf numFmtId="0" fontId="40" fillId="11" borderId="23" xfId="0" quotePrefix="1" applyFont="1" applyFill="1" applyBorder="1" applyAlignment="1" applyProtection="1">
      <alignment horizontal="center" vertical="center"/>
      <protection hidden="1"/>
    </xf>
    <xf numFmtId="0" fontId="40" fillId="11" borderId="24" xfId="0" quotePrefix="1"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6" fontId="19" fillId="26" borderId="6" xfId="0" applyNumberFormat="1" applyFont="1" applyFill="1" applyBorder="1" applyAlignment="1" applyProtection="1">
      <alignment horizontal="center" vertical="top"/>
      <protection hidden="1"/>
    </xf>
    <xf numFmtId="166" fontId="19" fillId="26" borderId="11"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6" fontId="11" fillId="26" borderId="11" xfId="0" applyNumberFormat="1" applyFont="1" applyFill="1" applyBorder="1" applyAlignment="1" applyProtection="1">
      <alignment horizontal="center" vertical="top"/>
      <protection hidden="1"/>
    </xf>
    <xf numFmtId="166" fontId="19" fillId="26" borderId="17" xfId="0" applyNumberFormat="1" applyFont="1" applyFill="1" applyBorder="1" applyAlignment="1" applyProtection="1">
      <alignment horizontal="center" vertical="top"/>
      <protection hidden="1"/>
    </xf>
    <xf numFmtId="166" fontId="19" fillId="26" borderId="18" xfId="0" applyNumberFormat="1" applyFont="1" applyFill="1" applyBorder="1" applyAlignment="1" applyProtection="1">
      <alignment horizontal="center" vertical="top"/>
      <protection hidden="1"/>
    </xf>
    <xf numFmtId="0" fontId="11" fillId="23" borderId="33" xfId="0" quotePrefix="1" applyFont="1" applyFill="1" applyBorder="1" applyAlignment="1" applyProtection="1">
      <alignment horizontal="center" vertical="center" wrapText="1"/>
      <protection hidden="1"/>
    </xf>
    <xf numFmtId="0" fontId="11" fillId="23" borderId="52" xfId="0" quotePrefix="1" applyFont="1" applyFill="1" applyBorder="1" applyAlignment="1" applyProtection="1">
      <alignment horizontal="center" vertical="center" wrapText="1"/>
      <protection hidden="1"/>
    </xf>
    <xf numFmtId="0" fontId="11" fillId="23" borderId="53" xfId="0" quotePrefix="1" applyFont="1" applyFill="1" applyBorder="1" applyAlignment="1" applyProtection="1">
      <alignment horizontal="center" vertical="center" wrapText="1"/>
      <protection hidden="1"/>
    </xf>
    <xf numFmtId="0" fontId="11" fillId="23" borderId="63" xfId="0" quotePrefix="1" applyFont="1" applyFill="1" applyBorder="1" applyAlignment="1" applyProtection="1">
      <alignment horizontal="center" vertical="center" wrapText="1"/>
      <protection hidden="1"/>
    </xf>
    <xf numFmtId="0" fontId="11" fillId="23" borderId="64" xfId="0" quotePrefix="1" applyFont="1" applyFill="1" applyBorder="1" applyAlignment="1" applyProtection="1">
      <alignment horizontal="center" vertical="center" wrapText="1"/>
      <protection hidden="1"/>
    </xf>
    <xf numFmtId="0" fontId="11" fillId="23" borderId="65" xfId="0" quotePrefix="1" applyFont="1" applyFill="1" applyBorder="1" applyAlignment="1" applyProtection="1">
      <alignment horizontal="center" vertical="center" wrapText="1"/>
      <protection hidden="1"/>
    </xf>
    <xf numFmtId="0" fontId="15" fillId="23" borderId="1" xfId="0" quotePrefix="1" applyFont="1" applyFill="1" applyBorder="1" applyAlignment="1" applyProtection="1">
      <alignment horizontal="center" vertical="center" wrapText="1"/>
      <protection hidden="1"/>
    </xf>
    <xf numFmtId="0" fontId="15" fillId="23" borderId="3" xfId="0" quotePrefix="1" applyFont="1" applyFill="1" applyBorder="1" applyAlignment="1" applyProtection="1">
      <alignment horizontal="center" vertical="center" wrapText="1"/>
      <protection hidden="1"/>
    </xf>
    <xf numFmtId="0" fontId="15" fillId="23" borderId="2" xfId="0" quotePrefix="1" applyFont="1" applyFill="1" applyBorder="1" applyAlignment="1" applyProtection="1">
      <alignment horizontal="center" vertical="center" wrapText="1"/>
      <protection hidden="1"/>
    </xf>
    <xf numFmtId="0" fontId="15" fillId="23" borderId="6" xfId="0" quotePrefix="1" applyFont="1" applyFill="1" applyBorder="1" applyAlignment="1" applyProtection="1">
      <alignment horizontal="center" vertical="center" wrapText="1"/>
      <protection hidden="1"/>
    </xf>
    <xf numFmtId="0" fontId="15" fillId="23" borderId="7" xfId="0" quotePrefix="1" applyFont="1" applyFill="1" applyBorder="1" applyAlignment="1" applyProtection="1">
      <alignment horizontal="center" vertical="center" wrapText="1"/>
      <protection hidden="1"/>
    </xf>
    <xf numFmtId="0" fontId="15" fillId="23" borderId="8" xfId="0" quotePrefix="1" applyFont="1" applyFill="1" applyBorder="1" applyAlignment="1" applyProtection="1">
      <alignment horizontal="center" vertical="center" wrapText="1"/>
      <protection hidden="1"/>
    </xf>
    <xf numFmtId="0" fontId="15" fillId="23" borderId="9" xfId="0" quotePrefix="1" applyFont="1" applyFill="1" applyBorder="1" applyAlignment="1" applyProtection="1">
      <alignment horizontal="center" vertical="center" wrapText="1"/>
      <protection hidden="1"/>
    </xf>
    <xf numFmtId="0" fontId="15" fillId="23" borderId="0" xfId="0" quotePrefix="1" applyFont="1" applyFill="1" applyAlignment="1" applyProtection="1">
      <alignment horizontal="center" vertical="center" wrapText="1"/>
      <protection hidden="1"/>
    </xf>
    <xf numFmtId="0" fontId="15" fillId="23" borderId="10" xfId="0" quotePrefix="1" applyFont="1" applyFill="1" applyBorder="1" applyAlignment="1" applyProtection="1">
      <alignment horizontal="center" vertical="center" wrapText="1"/>
      <protection hidden="1"/>
    </xf>
    <xf numFmtId="0" fontId="16" fillId="23" borderId="9" xfId="2" applyFont="1" applyFill="1" applyBorder="1" applyAlignment="1" applyProtection="1">
      <alignment horizontal="center"/>
      <protection hidden="1"/>
    </xf>
    <xf numFmtId="0" fontId="16" fillId="23" borderId="0" xfId="2" applyFont="1" applyFill="1" applyAlignment="1" applyProtection="1">
      <alignment horizontal="center"/>
      <protection hidden="1"/>
    </xf>
    <xf numFmtId="0" fontId="16" fillId="23" borderId="10" xfId="2" applyFont="1" applyFill="1" applyBorder="1" applyAlignment="1" applyProtection="1">
      <alignment horizontal="center"/>
      <protection hidden="1"/>
    </xf>
    <xf numFmtId="0" fontId="16" fillId="27" borderId="9" xfId="2" applyFont="1" applyFill="1" applyBorder="1" applyAlignment="1" applyProtection="1">
      <alignment horizontal="center"/>
      <protection hidden="1"/>
    </xf>
    <xf numFmtId="0" fontId="16" fillId="27" borderId="0" xfId="2" applyFont="1" applyFill="1" applyAlignment="1" applyProtection="1">
      <alignment horizontal="center"/>
      <protection hidden="1"/>
    </xf>
    <xf numFmtId="0" fontId="16" fillId="27"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7" fontId="27" fillId="28" borderId="17" xfId="0"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horizontal="center" vertical="center"/>
      <protection hidden="1"/>
    </xf>
    <xf numFmtId="167" fontId="27" fillId="28" borderId="9" xfId="0" applyNumberFormat="1" applyFont="1" applyFill="1" applyBorder="1" applyAlignment="1" applyProtection="1">
      <alignment horizontal="center" vertical="center"/>
      <protection hidden="1"/>
    </xf>
    <xf numFmtId="167" fontId="27" fillId="28" borderId="0" xfId="0" applyNumberFormat="1" applyFont="1" applyFill="1" applyAlignment="1" applyProtection="1">
      <alignment horizontal="center" vertical="center"/>
      <protection hidden="1"/>
    </xf>
    <xf numFmtId="174" fontId="27" fillId="28" borderId="27" xfId="0" applyNumberFormat="1" applyFont="1" applyFill="1" applyBorder="1" applyAlignment="1" applyProtection="1">
      <alignment horizontal="center" vertical="center"/>
      <protection locked="0"/>
    </xf>
    <xf numFmtId="174" fontId="27" fillId="28" borderId="25" xfId="0" applyNumberFormat="1" applyFont="1" applyFill="1" applyBorder="1" applyAlignment="1" applyProtection="1">
      <alignment horizontal="center" vertical="center"/>
      <protection locked="0"/>
    </xf>
    <xf numFmtId="167" fontId="27" fillId="28" borderId="6" xfId="0" applyNumberFormat="1" applyFont="1" applyFill="1" applyBorder="1" applyAlignment="1" applyProtection="1">
      <alignment horizontal="center" vertical="center"/>
      <protection hidden="1"/>
    </xf>
    <xf numFmtId="167" fontId="27" fillId="28" borderId="7" xfId="0" applyNumberFormat="1" applyFont="1" applyFill="1" applyBorder="1" applyAlignment="1" applyProtection="1">
      <alignment horizontal="center" vertical="center"/>
      <protection hidden="1"/>
    </xf>
    <xf numFmtId="169" fontId="27" fillId="28" borderId="27" xfId="0" applyNumberFormat="1" applyFont="1" applyFill="1" applyBorder="1" applyAlignment="1" applyProtection="1">
      <alignment horizontal="center" vertical="center"/>
      <protection hidden="1"/>
    </xf>
    <xf numFmtId="169" fontId="27" fillId="28" borderId="25" xfId="0" applyNumberFormat="1" applyFont="1" applyFill="1" applyBorder="1" applyAlignment="1" applyProtection="1">
      <alignment horizontal="center" vertical="center"/>
      <protection hidden="1"/>
    </xf>
    <xf numFmtId="165" fontId="11" fillId="24" borderId="17" xfId="1" applyNumberFormat="1" applyFont="1" applyFill="1" applyBorder="1" applyAlignment="1" applyProtection="1">
      <alignment horizontal="center" vertical="center"/>
      <protection hidden="1"/>
    </xf>
    <xf numFmtId="165" fontId="11" fillId="24" borderId="18" xfId="1"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6" xfId="1" applyNumberFormat="1" applyFont="1" applyFill="1" applyBorder="1" applyAlignment="1" applyProtection="1">
      <alignment horizontal="center" vertical="center"/>
      <protection hidden="1"/>
    </xf>
    <xf numFmtId="165" fontId="11" fillId="24" borderId="23" xfId="1" applyNumberFormat="1" applyFont="1" applyFill="1" applyBorder="1" applyAlignment="1" applyProtection="1">
      <alignment horizontal="center" vertical="center"/>
      <protection hidden="1"/>
    </xf>
    <xf numFmtId="0" fontId="17" fillId="23" borderId="9" xfId="2" applyFont="1" applyFill="1" applyBorder="1" applyAlignment="1" applyProtection="1">
      <alignment horizontal="center"/>
      <protection hidden="1"/>
    </xf>
    <xf numFmtId="0" fontId="17" fillId="23" borderId="0" xfId="2" applyFont="1" applyFill="1" applyAlignment="1" applyProtection="1">
      <alignment horizontal="center"/>
      <protection hidden="1"/>
    </xf>
    <xf numFmtId="0" fontId="25" fillId="6" borderId="58" xfId="0" applyFont="1" applyFill="1" applyBorder="1" applyAlignment="1" applyProtection="1">
      <alignment horizontal="center" vertical="center"/>
      <protection hidden="1"/>
    </xf>
    <xf numFmtId="0" fontId="25" fillId="6" borderId="59" xfId="0" applyFont="1" applyFill="1" applyBorder="1" applyAlignment="1" applyProtection="1">
      <alignment horizontal="center" vertical="center"/>
      <protection hidden="1"/>
    </xf>
    <xf numFmtId="0" fontId="11" fillId="23" borderId="63" xfId="0" quotePrefix="1" applyFont="1" applyFill="1" applyBorder="1" applyAlignment="1" applyProtection="1">
      <alignment horizontal="center" vertical="center"/>
      <protection hidden="1"/>
    </xf>
    <xf numFmtId="0" fontId="11" fillId="23" borderId="64" xfId="0" quotePrefix="1" applyFont="1" applyFill="1" applyBorder="1" applyAlignment="1" applyProtection="1">
      <alignment horizontal="center" vertical="center"/>
      <protection hidden="1"/>
    </xf>
    <xf numFmtId="0" fontId="11" fillId="23" borderId="65" xfId="0" quotePrefix="1" applyFont="1" applyFill="1" applyBorder="1" applyAlignment="1" applyProtection="1">
      <alignment horizontal="center" vertical="center"/>
      <protection hidden="1"/>
    </xf>
    <xf numFmtId="0" fontId="25" fillId="30" borderId="9" xfId="2" applyFont="1" applyFill="1" applyBorder="1" applyAlignment="1" applyProtection="1">
      <alignment horizontal="center" vertical="center"/>
      <protection hidden="1"/>
    </xf>
    <xf numFmtId="0" fontId="25" fillId="30" borderId="0" xfId="2" applyFont="1" applyFill="1" applyAlignment="1" applyProtection="1">
      <alignment horizontal="center" vertical="center"/>
      <protection hidden="1"/>
    </xf>
    <xf numFmtId="0" fontId="25" fillId="30" borderId="10" xfId="2" applyFont="1" applyFill="1" applyBorder="1" applyAlignment="1" applyProtection="1">
      <alignment horizontal="center" vertical="center"/>
      <protection hidden="1"/>
    </xf>
    <xf numFmtId="0" fontId="79" fillId="29" borderId="13" xfId="2" applyFont="1" applyFill="1" applyBorder="1" applyAlignment="1" applyProtection="1">
      <alignment horizontal="center" vertical="center" wrapText="1"/>
      <protection hidden="1"/>
    </xf>
    <xf numFmtId="0" fontId="79" fillId="29" borderId="20" xfId="2" applyFont="1" applyFill="1" applyBorder="1" applyAlignment="1" applyProtection="1">
      <alignment horizontal="center" vertical="center" wrapText="1"/>
      <protection hidden="1"/>
    </xf>
    <xf numFmtId="0" fontId="79" fillId="29" borderId="14" xfId="2" applyFont="1" applyFill="1" applyBorder="1" applyAlignment="1" applyProtection="1">
      <alignment horizontal="center" vertical="center" wrapText="1"/>
      <protection hidden="1"/>
    </xf>
    <xf numFmtId="0" fontId="79" fillId="29" borderId="37" xfId="2" applyFont="1" applyFill="1" applyBorder="1" applyAlignment="1" applyProtection="1">
      <alignment horizontal="center" vertical="center" wrapText="1"/>
      <protection hidden="1"/>
    </xf>
    <xf numFmtId="0" fontId="79" fillId="29" borderId="38" xfId="2" applyFont="1" applyFill="1" applyBorder="1" applyAlignment="1" applyProtection="1">
      <alignment horizontal="center" vertical="center" wrapText="1"/>
      <protection hidden="1"/>
    </xf>
    <xf numFmtId="0" fontId="79" fillId="29" borderId="39" xfId="2" applyFont="1" applyFill="1" applyBorder="1" applyAlignment="1" applyProtection="1">
      <alignment horizontal="center" vertical="center" wrapText="1"/>
      <protection hidden="1"/>
    </xf>
    <xf numFmtId="0" fontId="79" fillId="29" borderId="47" xfId="2" applyFont="1" applyFill="1" applyBorder="1" applyAlignment="1" applyProtection="1">
      <alignment horizontal="center" vertical="center" wrapText="1"/>
      <protection hidden="1"/>
    </xf>
    <xf numFmtId="0" fontId="79" fillId="29" borderId="48" xfId="2" applyFont="1" applyFill="1" applyBorder="1" applyAlignment="1" applyProtection="1">
      <alignment horizontal="center" vertical="center" wrapText="1"/>
      <protection hidden="1"/>
    </xf>
    <xf numFmtId="0" fontId="79" fillId="29" borderId="36" xfId="2" applyFont="1" applyFill="1" applyBorder="1" applyAlignment="1" applyProtection="1">
      <alignment horizontal="center" vertical="center" wrapText="1"/>
      <protection hidden="1"/>
    </xf>
    <xf numFmtId="0" fontId="60" fillId="11" borderId="26" xfId="0" quotePrefix="1" applyFont="1" applyFill="1" applyBorder="1" applyAlignment="1" applyProtection="1">
      <alignment horizontal="center" vertical="center"/>
      <protection hidden="1"/>
    </xf>
    <xf numFmtId="0" fontId="60" fillId="11" borderId="23" xfId="0" quotePrefix="1" applyFont="1" applyFill="1" applyBorder="1" applyAlignment="1" applyProtection="1">
      <alignment horizontal="center" vertical="center"/>
      <protection hidden="1"/>
    </xf>
    <xf numFmtId="169" fontId="60" fillId="11" borderId="40" xfId="0" applyNumberFormat="1" applyFont="1" applyFill="1" applyBorder="1" applyAlignment="1" applyProtection="1">
      <alignment horizontal="center" vertical="center"/>
      <protection hidden="1"/>
    </xf>
    <xf numFmtId="169" fontId="60" fillId="11" borderId="23" xfId="0" applyNumberFormat="1" applyFont="1" applyFill="1" applyBorder="1" applyAlignment="1" applyProtection="1">
      <alignment horizontal="center" vertical="center"/>
      <protection hidden="1"/>
    </xf>
    <xf numFmtId="6" fontId="25" fillId="6" borderId="58" xfId="0" applyNumberFormat="1" applyFont="1" applyFill="1" applyBorder="1" applyAlignment="1" applyProtection="1">
      <alignment horizontal="center" vertical="center"/>
      <protection hidden="1"/>
    </xf>
    <xf numFmtId="6" fontId="25" fillId="6" borderId="59" xfId="0" applyNumberFormat="1" applyFont="1" applyFill="1" applyBorder="1" applyAlignment="1" applyProtection="1">
      <alignment horizontal="center" vertical="center"/>
      <protection hidden="1"/>
    </xf>
    <xf numFmtId="0" fontId="3" fillId="30" borderId="9" xfId="0" applyFont="1" applyFill="1" applyBorder="1" applyAlignment="1" applyProtection="1">
      <alignment horizontal="center"/>
      <protection hidden="1"/>
    </xf>
    <xf numFmtId="0" fontId="3" fillId="30" borderId="0" xfId="0" applyFont="1" applyFill="1" applyAlignment="1" applyProtection="1">
      <alignment horizontal="center"/>
      <protection hidden="1"/>
    </xf>
    <xf numFmtId="165" fontId="11" fillId="24" borderId="33" xfId="1" applyNumberFormat="1" applyFont="1" applyFill="1" applyBorder="1" applyAlignment="1" applyProtection="1">
      <alignment horizontal="center" vertical="center"/>
      <protection hidden="1"/>
    </xf>
    <xf numFmtId="165" fontId="11" fillId="24" borderId="52" xfId="1" applyNumberFormat="1" applyFont="1" applyFill="1" applyBorder="1" applyAlignment="1" applyProtection="1">
      <alignment horizontal="center" vertical="center"/>
      <protection hidden="1"/>
    </xf>
    <xf numFmtId="165" fontId="11" fillId="24" borderId="53" xfId="1" applyNumberFormat="1" applyFont="1" applyFill="1" applyBorder="1" applyAlignment="1" applyProtection="1">
      <alignment horizontal="center" vertical="center"/>
      <protection hidden="1"/>
    </xf>
    <xf numFmtId="165" fontId="11" fillId="24" borderId="9"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2" fillId="23" borderId="9" xfId="2" applyFont="1" applyFill="1" applyBorder="1" applyAlignment="1" applyProtection="1">
      <alignment horizontal="center" vertical="center"/>
      <protection hidden="1"/>
    </xf>
    <xf numFmtId="0" fontId="12" fillId="23" borderId="0" xfId="2" applyFont="1" applyFill="1" applyAlignment="1" applyProtection="1">
      <alignment horizontal="center" vertical="center"/>
      <protection hidden="1"/>
    </xf>
    <xf numFmtId="0" fontId="16" fillId="23" borderId="9" xfId="2" applyFont="1" applyFill="1" applyBorder="1" applyAlignment="1" applyProtection="1">
      <alignment horizontal="center" vertical="center"/>
      <protection hidden="1"/>
    </xf>
    <xf numFmtId="0" fontId="16" fillId="23" borderId="0" xfId="2" applyFont="1" applyFill="1" applyAlignment="1" applyProtection="1">
      <alignment horizontal="center" vertical="center"/>
      <protection hidden="1"/>
    </xf>
    <xf numFmtId="0" fontId="85" fillId="30" borderId="90" xfId="0" applyFont="1" applyFill="1" applyBorder="1" applyAlignment="1" applyProtection="1">
      <alignment horizontal="center"/>
      <protection hidden="1"/>
    </xf>
    <xf numFmtId="0" fontId="85" fillId="30" borderId="0" xfId="0" applyFont="1" applyFill="1" applyAlignment="1" applyProtection="1">
      <alignment horizontal="center"/>
      <protection hidden="1"/>
    </xf>
    <xf numFmtId="0" fontId="12" fillId="31" borderId="1" xfId="2" applyFont="1" applyFill="1" applyBorder="1" applyAlignment="1" applyProtection="1">
      <alignment horizontal="center" vertical="center"/>
      <protection hidden="1"/>
    </xf>
    <xf numFmtId="0" fontId="12" fillId="31" borderId="2" xfId="2" applyFont="1" applyFill="1" applyBorder="1" applyAlignment="1" applyProtection="1">
      <alignment horizontal="center" vertical="center"/>
      <protection hidden="1"/>
    </xf>
    <xf numFmtId="0" fontId="12" fillId="31" borderId="4" xfId="2" applyFont="1" applyFill="1" applyBorder="1" applyAlignment="1" applyProtection="1">
      <alignment horizontal="center" vertical="center"/>
      <protection hidden="1"/>
    </xf>
    <xf numFmtId="0" fontId="12" fillId="31" borderId="5" xfId="2" applyFont="1" applyFill="1" applyBorder="1" applyAlignment="1" applyProtection="1">
      <alignment horizontal="center" vertical="center"/>
      <protection hidden="1"/>
    </xf>
    <xf numFmtId="0" fontId="15" fillId="31" borderId="1" xfId="0" quotePrefix="1" applyFont="1" applyFill="1" applyBorder="1" applyAlignment="1" applyProtection="1">
      <alignment horizontal="center" vertical="center" wrapText="1"/>
      <protection hidden="1"/>
    </xf>
    <xf numFmtId="0" fontId="15" fillId="31" borderId="3" xfId="0" quotePrefix="1" applyFont="1" applyFill="1" applyBorder="1" applyAlignment="1" applyProtection="1">
      <alignment horizontal="center" vertical="center" wrapText="1"/>
      <protection hidden="1"/>
    </xf>
    <xf numFmtId="0" fontId="15" fillId="31" borderId="2" xfId="0" quotePrefix="1" applyFont="1" applyFill="1" applyBorder="1" applyAlignment="1" applyProtection="1">
      <alignment horizontal="center" vertical="center" wrapText="1"/>
      <protection hidden="1"/>
    </xf>
    <xf numFmtId="0" fontId="15" fillId="31" borderId="6" xfId="0" quotePrefix="1" applyFont="1" applyFill="1" applyBorder="1" applyAlignment="1" applyProtection="1">
      <alignment horizontal="center" vertical="center" wrapText="1"/>
      <protection hidden="1"/>
    </xf>
    <xf numFmtId="0" fontId="15" fillId="31" borderId="7" xfId="0" quotePrefix="1" applyFont="1" applyFill="1" applyBorder="1" applyAlignment="1" applyProtection="1">
      <alignment horizontal="center" vertical="center" wrapText="1"/>
      <protection hidden="1"/>
    </xf>
    <xf numFmtId="0" fontId="15" fillId="31" borderId="8" xfId="0" quotePrefix="1" applyFont="1" applyFill="1" applyBorder="1" applyAlignment="1" applyProtection="1">
      <alignment horizontal="center" vertical="center" wrapText="1"/>
      <protection hidden="1"/>
    </xf>
    <xf numFmtId="0" fontId="15" fillId="31" borderId="9" xfId="0" quotePrefix="1" applyFont="1" applyFill="1" applyBorder="1" applyAlignment="1" applyProtection="1">
      <alignment horizontal="center" vertical="center" wrapText="1"/>
      <protection hidden="1"/>
    </xf>
    <xf numFmtId="0" fontId="15" fillId="31" borderId="0" xfId="0" quotePrefix="1" applyFont="1" applyFill="1" applyAlignment="1" applyProtection="1">
      <alignment horizontal="center" vertical="center" wrapText="1"/>
      <protection hidden="1"/>
    </xf>
    <xf numFmtId="0" fontId="15" fillId="31" borderId="10" xfId="0" quotePrefix="1" applyFont="1" applyFill="1" applyBorder="1" applyAlignment="1" applyProtection="1">
      <alignment horizontal="center" vertical="center" wrapText="1"/>
      <protection hidden="1"/>
    </xf>
    <xf numFmtId="0" fontId="16" fillId="31" borderId="9" xfId="2" applyFont="1" applyFill="1" applyBorder="1" applyAlignment="1" applyProtection="1">
      <alignment horizontal="center" vertical="center"/>
      <protection hidden="1"/>
    </xf>
    <xf numFmtId="0" fontId="16" fillId="31" borderId="10" xfId="2" applyFont="1" applyFill="1" applyBorder="1" applyAlignment="1" applyProtection="1">
      <alignment horizontal="center" vertical="center"/>
      <protection hidden="1"/>
    </xf>
    <xf numFmtId="0" fontId="16" fillId="31" borderId="9" xfId="2" applyFont="1" applyFill="1" applyBorder="1" applyAlignment="1" applyProtection="1">
      <alignment horizontal="center"/>
      <protection hidden="1"/>
    </xf>
    <xf numFmtId="0" fontId="16" fillId="31" borderId="0" xfId="2" applyFont="1" applyFill="1" applyAlignment="1" applyProtection="1">
      <alignment horizontal="center"/>
      <protection hidden="1"/>
    </xf>
    <xf numFmtId="0" fontId="16" fillId="31" borderId="10" xfId="2" applyFont="1" applyFill="1" applyBorder="1" applyAlignment="1" applyProtection="1">
      <alignment horizontal="center"/>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32" borderId="17" xfId="1" applyNumberFormat="1" applyFont="1" applyFill="1" applyBorder="1" applyAlignment="1" applyProtection="1">
      <alignment horizontal="center" vertical="center"/>
      <protection hidden="1"/>
    </xf>
    <xf numFmtId="165" fontId="11" fillId="32" borderId="25" xfId="1" applyNumberFormat="1" applyFont="1" applyFill="1" applyBorder="1" applyAlignment="1" applyProtection="1">
      <alignment horizontal="center" vertical="center"/>
      <protection hidden="1"/>
    </xf>
    <xf numFmtId="0" fontId="17" fillId="31" borderId="9" xfId="2" applyFont="1" applyFill="1" applyBorder="1" applyAlignment="1" applyProtection="1">
      <alignment horizontal="center"/>
      <protection hidden="1"/>
    </xf>
    <xf numFmtId="0" fontId="17" fillId="31" borderId="0" xfId="2" applyFont="1" applyFill="1" applyAlignment="1" applyProtection="1">
      <alignment horizontal="center"/>
      <protection hidden="1"/>
    </xf>
    <xf numFmtId="0" fontId="17" fillId="31" borderId="10" xfId="2" applyFont="1" applyFill="1" applyBorder="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32" borderId="26" xfId="1" applyNumberFormat="1" applyFont="1" applyFill="1" applyBorder="1" applyAlignment="1" applyProtection="1">
      <alignment horizontal="center" vertical="center"/>
      <protection hidden="1"/>
    </xf>
    <xf numFmtId="165" fontId="11" fillId="32"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32" borderId="18" xfId="1" applyNumberFormat="1" applyFont="1" applyFill="1" applyBorder="1" applyAlignment="1" applyProtection="1">
      <alignment horizontal="center" vertical="center"/>
      <protection hidden="1"/>
    </xf>
    <xf numFmtId="165" fontId="11" fillId="32" borderId="33" xfId="1" applyNumberFormat="1" applyFont="1" applyFill="1" applyBorder="1" applyAlignment="1" applyProtection="1">
      <alignment horizontal="center" vertical="center"/>
      <protection hidden="1"/>
    </xf>
    <xf numFmtId="165" fontId="11" fillId="32" borderId="52" xfId="1" applyNumberFormat="1" applyFont="1" applyFill="1" applyBorder="1" applyAlignment="1" applyProtection="1">
      <alignment horizontal="center" vertical="center"/>
      <protection hidden="1"/>
    </xf>
    <xf numFmtId="165" fontId="11" fillId="32"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32" borderId="22" xfId="1" applyNumberFormat="1" applyFont="1" applyFill="1" applyBorder="1" applyAlignment="1" applyProtection="1">
      <alignment horizontal="center" vertical="center"/>
      <protection hidden="1"/>
    </xf>
    <xf numFmtId="165" fontId="11" fillId="32"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31" borderId="3" xfId="2" applyFont="1" applyFill="1" applyBorder="1" applyAlignment="1" applyProtection="1">
      <alignment horizontal="center" vertical="center"/>
      <protection hidden="1"/>
    </xf>
    <xf numFmtId="0" fontId="12" fillId="31" borderId="32" xfId="2" applyFont="1" applyFill="1" applyBorder="1" applyAlignment="1" applyProtection="1">
      <alignment horizontal="center" vertical="center"/>
      <protection hidden="1"/>
    </xf>
    <xf numFmtId="0" fontId="16" fillId="31"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32" borderId="27" xfId="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35" borderId="0" xfId="3" applyFont="1" applyFill="1" applyBorder="1" applyAlignment="1">
      <alignment horizontal="center" vertical="center"/>
    </xf>
    <xf numFmtId="0" fontId="36" fillId="30" borderId="9" xfId="3" applyFont="1" applyFill="1" applyBorder="1" applyAlignment="1">
      <alignment horizontal="center" vertical="center"/>
    </xf>
    <xf numFmtId="0" fontId="36" fillId="30" borderId="0" xfId="3" applyFont="1" applyFill="1" applyBorder="1" applyAlignment="1">
      <alignment horizontal="center" vertical="center"/>
    </xf>
    <xf numFmtId="0" fontId="22" fillId="10" borderId="22" xfId="0" applyFont="1" applyFill="1" applyBorder="1" applyAlignment="1" applyProtection="1">
      <alignment horizontal="center" vertical="center"/>
      <protection hidden="1"/>
    </xf>
    <xf numFmtId="0" fontId="36" fillId="30" borderId="1" xfId="3" applyFont="1" applyFill="1" applyBorder="1" applyAlignment="1">
      <alignment horizontal="center" vertical="center"/>
    </xf>
    <xf numFmtId="0" fontId="36" fillId="30" borderId="3" xfId="3" applyFont="1" applyFill="1" applyBorder="1" applyAlignment="1">
      <alignment horizontal="center" vertical="center"/>
    </xf>
    <xf numFmtId="165" fontId="11" fillId="24" borderId="22" xfId="1" applyNumberFormat="1" applyFont="1" applyFill="1" applyBorder="1" applyAlignment="1" applyProtection="1">
      <alignment horizontal="center" vertical="center"/>
      <protection hidden="1"/>
    </xf>
    <xf numFmtId="165" fontId="11" fillId="30" borderId="17" xfId="1" applyNumberFormat="1" applyFont="1" applyFill="1" applyBorder="1" applyAlignment="1" applyProtection="1">
      <alignment horizontal="center" vertical="center"/>
      <protection hidden="1"/>
    </xf>
    <xf numFmtId="165" fontId="11" fillId="30" borderId="1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0" fontId="62" fillId="7" borderId="9" xfId="0" quotePrefix="1" applyFont="1" applyFill="1" applyBorder="1" applyAlignment="1" applyProtection="1">
      <alignment horizontal="center" vertical="center"/>
      <protection hidden="1"/>
    </xf>
    <xf numFmtId="0" fontId="62" fillId="7" borderId="0" xfId="0" quotePrefix="1" applyFont="1" applyFill="1" applyAlignment="1" applyProtection="1">
      <alignment horizontal="center" vertical="center"/>
      <protection hidden="1"/>
    </xf>
    <xf numFmtId="169" fontId="62" fillId="7" borderId="77" xfId="0" applyNumberFormat="1" applyFont="1" applyFill="1" applyBorder="1" applyAlignment="1" applyProtection="1">
      <alignment horizontal="center" vertical="center"/>
      <protection hidden="1"/>
    </xf>
    <xf numFmtId="169" fontId="62" fillId="7" borderId="0" xfId="0" applyNumberFormat="1" applyFont="1" applyFill="1" applyAlignment="1" applyProtection="1">
      <alignment horizontal="center" vertical="center"/>
      <protection hidden="1"/>
    </xf>
    <xf numFmtId="165" fontId="11" fillId="24" borderId="7" xfId="1" applyNumberFormat="1" applyFont="1" applyFill="1" applyBorder="1" applyAlignment="1" applyProtection="1">
      <alignment horizontal="center" vertical="center"/>
      <protection hidden="1"/>
    </xf>
    <xf numFmtId="167" fontId="27" fillId="28" borderId="26" xfId="0" applyNumberFormat="1" applyFont="1" applyFill="1" applyBorder="1" applyAlignment="1" applyProtection="1">
      <alignment horizontal="center" vertical="center"/>
      <protection locked="0" hidden="1"/>
    </xf>
    <xf numFmtId="167" fontId="27" fillId="28" borderId="23" xfId="0" applyNumberFormat="1" applyFont="1" applyFill="1" applyBorder="1" applyAlignment="1" applyProtection="1">
      <alignment horizontal="center" vertical="center"/>
      <protection locked="0" hidden="1"/>
    </xf>
    <xf numFmtId="167" fontId="27" fillId="28" borderId="71" xfId="0" applyNumberFormat="1" applyFont="1" applyFill="1" applyBorder="1" applyAlignment="1" applyProtection="1">
      <alignment horizontal="center" vertical="center"/>
      <protection hidden="1"/>
    </xf>
    <xf numFmtId="167" fontId="27" fillId="28" borderId="72" xfId="0" applyNumberFormat="1" applyFont="1" applyFill="1" applyBorder="1" applyAlignment="1" applyProtection="1">
      <alignment horizontal="center" vertical="center"/>
      <protection hidden="1"/>
    </xf>
    <xf numFmtId="174" fontId="27" fillId="28" borderId="78" xfId="0" applyNumberFormat="1" applyFont="1" applyFill="1" applyBorder="1" applyAlignment="1" applyProtection="1">
      <alignment horizontal="center" vertical="center"/>
      <protection locked="0"/>
    </xf>
    <xf numFmtId="174" fontId="27" fillId="28" borderId="42" xfId="0" applyNumberFormat="1" applyFont="1" applyFill="1" applyBorder="1" applyAlignment="1" applyProtection="1">
      <alignment horizontal="center" vertical="center"/>
      <protection locked="0"/>
    </xf>
    <xf numFmtId="166" fontId="19" fillId="26" borderId="22" xfId="0" applyNumberFormat="1" applyFont="1" applyFill="1" applyBorder="1" applyAlignment="1" applyProtection="1">
      <alignment horizontal="center" vertical="center"/>
      <protection hidden="1"/>
    </xf>
    <xf numFmtId="166" fontId="19" fillId="26" borderId="18" xfId="0" applyNumberFormat="1" applyFont="1" applyFill="1" applyBorder="1" applyAlignment="1" applyProtection="1">
      <alignment horizontal="center" vertical="center"/>
      <protection hidden="1"/>
    </xf>
    <xf numFmtId="166" fontId="11" fillId="26" borderId="7" xfId="0" applyNumberFormat="1" applyFont="1" applyFill="1" applyBorder="1" applyAlignment="1" applyProtection="1">
      <alignment horizontal="center" vertical="top"/>
      <protection hidden="1"/>
    </xf>
    <xf numFmtId="0" fontId="12" fillId="23" borderId="1" xfId="2" applyFont="1" applyFill="1" applyBorder="1" applyAlignment="1" applyProtection="1">
      <alignment horizontal="center" vertical="center"/>
      <protection hidden="1"/>
    </xf>
    <xf numFmtId="0" fontId="12" fillId="23" borderId="3" xfId="2" applyFont="1" applyFill="1" applyBorder="1" applyAlignment="1" applyProtection="1">
      <alignment horizontal="center" vertical="center"/>
      <protection hidden="1"/>
    </xf>
    <xf numFmtId="0" fontId="12" fillId="23" borderId="2" xfId="2" applyFont="1" applyFill="1" applyBorder="1" applyAlignment="1" applyProtection="1">
      <alignment horizontal="center" vertical="center"/>
      <protection hidden="1"/>
    </xf>
    <xf numFmtId="0" fontId="12" fillId="23" borderId="4" xfId="2" applyFont="1" applyFill="1" applyBorder="1" applyAlignment="1" applyProtection="1">
      <alignment horizontal="center" vertical="center"/>
      <protection hidden="1"/>
    </xf>
    <xf numFmtId="0" fontId="12" fillId="23" borderId="32" xfId="2" applyFont="1" applyFill="1" applyBorder="1" applyAlignment="1" applyProtection="1">
      <alignment horizontal="center" vertical="center"/>
      <protection hidden="1"/>
    </xf>
    <xf numFmtId="0" fontId="12" fillId="23" borderId="5" xfId="2" applyFont="1" applyFill="1" applyBorder="1" applyAlignment="1" applyProtection="1">
      <alignment horizontal="center" vertical="center"/>
      <protection hidden="1"/>
    </xf>
    <xf numFmtId="166" fontId="19" fillId="26" borderId="33" xfId="0" applyNumberFormat="1" applyFont="1" applyFill="1" applyBorder="1" applyAlignment="1" applyProtection="1">
      <alignment horizontal="center" vertical="center"/>
      <protection hidden="1"/>
    </xf>
    <xf numFmtId="166" fontId="19" fillId="26" borderId="34" xfId="0" applyNumberFormat="1" applyFont="1" applyFill="1" applyBorder="1" applyAlignment="1" applyProtection="1">
      <alignment horizontal="center" vertical="center"/>
      <protection hidden="1"/>
    </xf>
    <xf numFmtId="0" fontId="29" fillId="47" borderId="1" xfId="2" applyFont="1" applyFill="1" applyBorder="1" applyAlignment="1" applyProtection="1">
      <alignment horizontal="center" wrapText="1"/>
      <protection hidden="1"/>
    </xf>
    <xf numFmtId="0" fontId="29" fillId="47" borderId="3" xfId="2" applyFont="1" applyFill="1" applyBorder="1" applyAlignment="1" applyProtection="1">
      <alignment horizontal="center" wrapText="1"/>
      <protection hidden="1"/>
    </xf>
    <xf numFmtId="0" fontId="29" fillId="47" borderId="2" xfId="2" applyFont="1" applyFill="1" applyBorder="1" applyAlignment="1" applyProtection="1">
      <alignment horizontal="center" wrapText="1"/>
      <protection hidden="1"/>
    </xf>
    <xf numFmtId="0" fontId="29" fillId="47" borderId="4" xfId="2" applyFont="1" applyFill="1" applyBorder="1" applyAlignment="1" applyProtection="1">
      <alignment horizontal="center" wrapText="1"/>
      <protection hidden="1"/>
    </xf>
    <xf numFmtId="0" fontId="29" fillId="47" borderId="32" xfId="2" applyFont="1" applyFill="1" applyBorder="1" applyAlignment="1" applyProtection="1">
      <alignment horizontal="center" wrapText="1"/>
      <protection hidden="1"/>
    </xf>
    <xf numFmtId="0" fontId="29" fillId="47" borderId="5" xfId="2" applyFont="1" applyFill="1" applyBorder="1" applyAlignment="1" applyProtection="1">
      <alignment horizontal="center" wrapText="1"/>
      <protection hidden="1"/>
    </xf>
    <xf numFmtId="165" fontId="11" fillId="24" borderId="63" xfId="1"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0" fontId="83" fillId="6" borderId="33" xfId="7" applyFill="1" applyBorder="1" applyAlignment="1">
      <alignment horizontal="center" vertical="center"/>
    </xf>
    <xf numFmtId="0" fontId="83" fillId="6" borderId="53" xfId="7" applyFill="1" applyBorder="1" applyAlignment="1">
      <alignment horizontal="center" vertical="center"/>
    </xf>
    <xf numFmtId="0" fontId="29" fillId="47" borderId="63" xfId="2" applyFont="1" applyFill="1" applyBorder="1" applyAlignment="1" applyProtection="1">
      <alignment horizontal="center" vertical="center"/>
      <protection hidden="1"/>
    </xf>
    <xf numFmtId="0" fontId="29" fillId="47" borderId="64" xfId="2" applyFont="1" applyFill="1" applyBorder="1" applyAlignment="1" applyProtection="1">
      <alignment horizontal="center" vertical="center"/>
      <protection hidden="1"/>
    </xf>
    <xf numFmtId="0" fontId="29" fillId="47" borderId="65" xfId="2" applyFont="1" applyFill="1" applyBorder="1" applyAlignment="1" applyProtection="1">
      <alignment horizontal="center" vertical="center"/>
      <protection hidden="1"/>
    </xf>
    <xf numFmtId="166" fontId="29" fillId="30" borderId="26" xfId="0" applyNumberFormat="1" applyFont="1" applyFill="1" applyBorder="1" applyAlignment="1" applyProtection="1">
      <alignment horizontal="center" vertical="top"/>
      <protection hidden="1"/>
    </xf>
    <xf numFmtId="166" fontId="29" fillId="30" borderId="23" xfId="0" applyNumberFormat="1" applyFont="1" applyFill="1" applyBorder="1" applyAlignment="1" applyProtection="1">
      <alignment horizontal="center" vertical="top"/>
      <protection hidden="1"/>
    </xf>
    <xf numFmtId="166" fontId="29" fillId="30" borderId="9" xfId="0" applyNumberFormat="1" applyFont="1" applyFill="1" applyBorder="1" applyAlignment="1" applyProtection="1">
      <alignment horizontal="center" vertical="top"/>
      <protection hidden="1"/>
    </xf>
    <xf numFmtId="166" fontId="29" fillId="30" borderId="0" xfId="0" applyNumberFormat="1" applyFont="1" applyFill="1" applyAlignment="1" applyProtection="1">
      <alignment horizontal="center" vertical="top"/>
      <protection hidden="1"/>
    </xf>
    <xf numFmtId="167" fontId="27" fillId="28" borderId="62" xfId="0" applyNumberFormat="1" applyFont="1" applyFill="1" applyBorder="1" applyAlignment="1" applyProtection="1">
      <alignment horizontal="center" vertical="center"/>
      <protection locked="0" hidden="1"/>
    </xf>
    <xf numFmtId="0" fontId="0" fillId="0" borderId="62" xfId="0" applyBorder="1" applyAlignment="1">
      <alignment horizontal="center" vertical="center"/>
    </xf>
    <xf numFmtId="0" fontId="62" fillId="7" borderId="1" xfId="0" quotePrefix="1" applyFont="1" applyFill="1" applyBorder="1" applyAlignment="1" applyProtection="1">
      <alignment horizontal="center" vertical="center"/>
      <protection hidden="1"/>
    </xf>
    <xf numFmtId="0" fontId="62" fillId="7" borderId="2" xfId="0" quotePrefix="1" applyFont="1" applyFill="1" applyBorder="1" applyAlignment="1" applyProtection="1">
      <alignment horizontal="center" vertical="center"/>
      <protection hidden="1"/>
    </xf>
    <xf numFmtId="169" fontId="62" fillId="7" borderId="1" xfId="0" applyNumberFormat="1" applyFont="1" applyFill="1" applyBorder="1" applyAlignment="1" applyProtection="1">
      <alignment horizontal="center" vertical="center"/>
      <protection hidden="1"/>
    </xf>
    <xf numFmtId="169" fontId="62" fillId="7" borderId="2" xfId="0" applyNumberFormat="1" applyFont="1" applyFill="1" applyBorder="1" applyAlignment="1" applyProtection="1">
      <alignment horizontal="center" vertical="center"/>
      <protection hidden="1"/>
    </xf>
    <xf numFmtId="165" fontId="11" fillId="24" borderId="4" xfId="1" applyNumberFormat="1"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74" fontId="0" fillId="0" borderId="22" xfId="0" applyNumberFormat="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0" fontId="29" fillId="46" borderId="9" xfId="2" applyFont="1" applyFill="1" applyBorder="1" applyAlignment="1" applyProtection="1">
      <alignment horizontal="center" vertical="center" wrapText="1"/>
      <protection hidden="1"/>
    </xf>
    <xf numFmtId="0" fontId="29" fillId="46" borderId="0" xfId="2" applyFont="1" applyFill="1" applyAlignment="1" applyProtection="1">
      <alignment horizontal="center" vertical="center" wrapText="1"/>
      <protection hidden="1"/>
    </xf>
    <xf numFmtId="0" fontId="29" fillId="46" borderId="10" xfId="2" applyFont="1" applyFill="1" applyBorder="1" applyAlignment="1" applyProtection="1">
      <alignment horizontal="center" vertical="center" wrapText="1"/>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3" borderId="4"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2" fillId="0" borderId="63" xfId="0" applyFont="1" applyBorder="1" applyAlignment="1">
      <alignment horizontal="center" vertical="center" wrapText="1"/>
    </xf>
    <xf numFmtId="0" fontId="92" fillId="0" borderId="64" xfId="0" applyFont="1" applyBorder="1" applyAlignment="1">
      <alignment horizontal="center" vertical="center" wrapText="1"/>
    </xf>
    <xf numFmtId="0" fontId="92" fillId="0" borderId="65" xfId="0" applyFont="1" applyBorder="1" applyAlignment="1">
      <alignment horizontal="center" vertical="center" wrapText="1"/>
    </xf>
    <xf numFmtId="0" fontId="75" fillId="43" borderId="79" xfId="0" applyFont="1" applyFill="1" applyBorder="1" applyAlignment="1">
      <alignment horizontal="center" vertical="top" wrapText="1"/>
    </xf>
    <xf numFmtId="0" fontId="75" fillId="43" borderId="80" xfId="0" applyFont="1" applyFill="1" applyBorder="1" applyAlignment="1">
      <alignment horizontal="center" vertical="top" wrapText="1"/>
    </xf>
    <xf numFmtId="0" fontId="75" fillId="43" borderId="81" xfId="0" applyFont="1" applyFill="1" applyBorder="1" applyAlignment="1">
      <alignment horizontal="center" vertical="top" wrapText="1"/>
    </xf>
    <xf numFmtId="0" fontId="51" fillId="0" borderId="83" xfId="0" applyFont="1" applyBorder="1" applyAlignment="1">
      <alignment horizontal="left"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75" fillId="43" borderId="85" xfId="0" applyFont="1" applyFill="1" applyBorder="1" applyAlignment="1">
      <alignment horizontal="center" vertical="top" wrapText="1"/>
    </xf>
    <xf numFmtId="0" fontId="75" fillId="43" borderId="89" xfId="0" applyFont="1" applyFill="1" applyBorder="1" applyAlignment="1">
      <alignment horizontal="center" vertical="top" wrapText="1"/>
    </xf>
    <xf numFmtId="0" fontId="75" fillId="43" borderId="86" xfId="0" applyFont="1" applyFill="1" applyBorder="1" applyAlignment="1">
      <alignment horizontal="center" vertical="top"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87" fillId="0" borderId="71" xfId="6" applyFont="1" applyBorder="1" applyAlignment="1">
      <alignment horizontal="center" vertical="center"/>
    </xf>
    <xf numFmtId="0" fontId="87" fillId="0" borderId="72" xfId="6" applyFont="1" applyBorder="1" applyAlignment="1">
      <alignment horizontal="center" vertical="center"/>
    </xf>
    <xf numFmtId="0" fontId="88" fillId="0" borderId="70"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8" fillId="0" borderId="13"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8" fillId="0" borderId="14" xfId="6" applyFont="1" applyBorder="1" applyAlignment="1">
      <alignment horizontal="center" vertical="center" wrapText="1"/>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8" fillId="0" borderId="73" xfId="6" applyFont="1" applyBorder="1" applyAlignment="1">
      <alignment horizontal="center" vertical="center"/>
    </xf>
    <xf numFmtId="0" fontId="88" fillId="0" borderId="74" xfId="6" applyFont="1" applyBorder="1" applyAlignment="1">
      <alignment horizontal="center" vertical="center"/>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7" fillId="0" borderId="63" xfId="6" applyFont="1" applyBorder="1" applyAlignment="1">
      <alignment horizontal="center" vertical="center"/>
    </xf>
    <xf numFmtId="0" fontId="87" fillId="0" borderId="65"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45">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523875</xdr:colOff>
      <xdr:row>0</xdr:row>
      <xdr:rowOff>76200</xdr:rowOff>
    </xdr:from>
    <xdr:to>
      <xdr:col>11</xdr:col>
      <xdr:colOff>315289</xdr:colOff>
      <xdr:row>3</xdr:row>
      <xdr:rowOff>162851</xdr:rowOff>
    </xdr:to>
    <xdr:pic>
      <xdr:nvPicPr>
        <xdr:cNvPr id="8" name="Picture 7">
          <a:extLst>
            <a:ext uri="{FF2B5EF4-FFF2-40B4-BE49-F238E27FC236}">
              <a16:creationId xmlns:a16="http://schemas.microsoft.com/office/drawing/2014/main" id="{BECEBE9F-D63E-4B41-87B4-C74BE2106C55}"/>
            </a:ext>
          </a:extLst>
        </xdr:cNvPr>
        <xdr:cNvPicPr>
          <a:picLocks noChangeAspect="1"/>
        </xdr:cNvPicPr>
      </xdr:nvPicPr>
      <xdr:blipFill>
        <a:blip xmlns:r="http://schemas.openxmlformats.org/officeDocument/2006/relationships" r:embed="rId1"/>
        <a:stretch>
          <a:fillRect/>
        </a:stretch>
      </xdr:blipFill>
      <xdr:spPr>
        <a:xfrm>
          <a:off x="5562600" y="76200"/>
          <a:ext cx="2267914" cy="743876"/>
        </a:xfrm>
        <a:prstGeom prst="rect">
          <a:avLst/>
        </a:prstGeom>
      </xdr:spPr>
    </xdr:pic>
    <xdr:clientData/>
  </xdr:twoCellAnchor>
  <xdr:twoCellAnchor>
    <xdr:from>
      <xdr:col>21</xdr:col>
      <xdr:colOff>152400</xdr:colOff>
      <xdr:row>9</xdr:row>
      <xdr:rowOff>38100</xdr:rowOff>
    </xdr:from>
    <xdr:to>
      <xdr:col>21</xdr:col>
      <xdr:colOff>1543050</xdr:colOff>
      <xdr:row>10</xdr:row>
      <xdr:rowOff>142874</xdr:rowOff>
    </xdr:to>
    <xdr:sp macro="[0]!ResetNQM" textlink="">
      <xdr:nvSpPr>
        <xdr:cNvPr id="9" name="Flowchart: Alternate Process 8">
          <a:extLst>
            <a:ext uri="{FF2B5EF4-FFF2-40B4-BE49-F238E27FC236}">
              <a16:creationId xmlns:a16="http://schemas.microsoft.com/office/drawing/2014/main" id="{48D0E961-C6BF-4592-8D30-8BE45CE16013}"/>
            </a:ext>
          </a:extLst>
        </xdr:cNvPr>
        <xdr:cNvSpPr/>
      </xdr:nvSpPr>
      <xdr:spPr>
        <a:xfrm>
          <a:off x="14725650" y="1971675"/>
          <a:ext cx="1390650" cy="3047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49308</xdr:rowOff>
    </xdr:from>
    <xdr:to>
      <xdr:col>19</xdr:col>
      <xdr:colOff>1304924</xdr:colOff>
      <xdr:row>10</xdr:row>
      <xdr:rowOff>161925</xdr:rowOff>
    </xdr:to>
    <xdr:sp macro="[0]!ResetFunction_DSCR" textlink="">
      <xdr:nvSpPr>
        <xdr:cNvPr id="2" name="Flowchart: Alternate Process 1">
          <a:extLst>
            <a:ext uri="{FF2B5EF4-FFF2-40B4-BE49-F238E27FC236}">
              <a16:creationId xmlns:a16="http://schemas.microsoft.com/office/drawing/2014/main" id="{8A79AADD-57D0-41EA-9689-CCF9C012D085}"/>
            </a:ext>
          </a:extLst>
        </xdr:cNvPr>
        <xdr:cNvSpPr/>
      </xdr:nvSpPr>
      <xdr:spPr>
        <a:xfrm>
          <a:off x="15049500" y="1982883"/>
          <a:ext cx="1200149" cy="30311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447675</xdr:colOff>
      <xdr:row>0</xdr:row>
      <xdr:rowOff>114300</xdr:rowOff>
    </xdr:from>
    <xdr:to>
      <xdr:col>11</xdr:col>
      <xdr:colOff>323850</xdr:colOff>
      <xdr:row>4</xdr:row>
      <xdr:rowOff>9677</xdr:rowOff>
    </xdr:to>
    <xdr:pic>
      <xdr:nvPicPr>
        <xdr:cNvPr id="5" name="Picture 4">
          <a:extLst>
            <a:ext uri="{FF2B5EF4-FFF2-40B4-BE49-F238E27FC236}">
              <a16:creationId xmlns:a16="http://schemas.microsoft.com/office/drawing/2014/main" id="{097C7E34-FEC5-4163-A826-8CAC098681DF}"/>
            </a:ext>
          </a:extLst>
        </xdr:cNvPr>
        <xdr:cNvPicPr>
          <a:picLocks noChangeAspect="1"/>
        </xdr:cNvPicPr>
      </xdr:nvPicPr>
      <xdr:blipFill>
        <a:blip xmlns:r="http://schemas.openxmlformats.org/officeDocument/2006/relationships" r:embed="rId1"/>
        <a:stretch>
          <a:fillRect/>
        </a:stretch>
      </xdr:blipFill>
      <xdr:spPr>
        <a:xfrm>
          <a:off x="6276975" y="114300"/>
          <a:ext cx="2352675" cy="7716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1D7D0B95-054C-434E-A4B5-5D616DA5DC75}"/>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1082680</xdr:colOff>
      <xdr:row>0</xdr:row>
      <xdr:rowOff>41278</xdr:rowOff>
    </xdr:from>
    <xdr:to>
      <xdr:col>7</xdr:col>
      <xdr:colOff>1080564</xdr:colOff>
      <xdr:row>4</xdr:row>
      <xdr:rowOff>38255</xdr:rowOff>
    </xdr:to>
    <xdr:pic>
      <xdr:nvPicPr>
        <xdr:cNvPr id="3" name="Picture 2">
          <a:extLst>
            <a:ext uri="{FF2B5EF4-FFF2-40B4-BE49-F238E27FC236}">
              <a16:creationId xmlns:a16="http://schemas.microsoft.com/office/drawing/2014/main" id="{45ED3612-1AA6-422C-B187-76C41CBE887A}"/>
            </a:ext>
          </a:extLst>
        </xdr:cNvPr>
        <xdr:cNvPicPr>
          <a:picLocks noChangeAspect="1"/>
        </xdr:cNvPicPr>
      </xdr:nvPicPr>
      <xdr:blipFill>
        <a:blip xmlns:r="http://schemas.openxmlformats.org/officeDocument/2006/relationships" r:embed="rId1"/>
        <a:stretch>
          <a:fillRect/>
        </a:stretch>
      </xdr:blipFill>
      <xdr:spPr>
        <a:xfrm>
          <a:off x="5026030" y="41278"/>
          <a:ext cx="2360084" cy="8732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golendingpros.com/nonqm-forms/"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golendingpros.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30" zoomScale="85" zoomScaleNormal="85" workbookViewId="0">
      <selection activeCell="B65" sqref="B65"/>
    </sheetView>
  </sheetViews>
  <sheetFormatPr defaultColWidth="9.140625" defaultRowHeight="15" x14ac:dyDescent="0.25"/>
  <cols>
    <col min="1" max="1" width="29.7109375" style="92" customWidth="1"/>
    <col min="2" max="3" width="22.7109375" style="92" customWidth="1"/>
    <col min="4" max="4" width="20" style="92" customWidth="1"/>
    <col min="5" max="5" width="27.140625" style="92" bestFit="1" customWidth="1"/>
    <col min="6" max="6" width="35" style="92" bestFit="1" customWidth="1"/>
    <col min="7" max="7" width="21.42578125" style="92" bestFit="1" customWidth="1"/>
    <col min="8" max="8" width="30.28515625" style="92" customWidth="1"/>
    <col min="9" max="9" width="21.28515625" style="92"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25.5703125" style="119" bestFit="1" customWidth="1"/>
    <col min="16" max="16" width="20.140625" style="119" bestFit="1" customWidth="1"/>
    <col min="17" max="17" width="37.85546875" style="92" bestFit="1" customWidth="1"/>
    <col min="18" max="18" width="26.42578125" style="92" customWidth="1"/>
    <col min="19" max="19" width="67.42578125" style="104" bestFit="1" customWidth="1"/>
    <col min="20" max="20" width="19.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37.5703125" style="104" bestFit="1"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9.140625" style="92"/>
    <col min="39" max="39" width="36.28515625" style="92" bestFit="1" customWidth="1"/>
    <col min="40"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95" t="s">
        <v>202</v>
      </c>
      <c r="O1" s="491" t="s">
        <v>203</v>
      </c>
      <c r="P1" s="491" t="s">
        <v>43</v>
      </c>
      <c r="Q1" s="95" t="s">
        <v>204</v>
      </c>
      <c r="R1" s="96" t="s">
        <v>66</v>
      </c>
      <c r="S1" s="96" t="s">
        <v>69</v>
      </c>
      <c r="T1" s="95" t="s">
        <v>62</v>
      </c>
      <c r="U1" s="97"/>
      <c r="V1" s="98" t="s">
        <v>205</v>
      </c>
      <c r="W1" s="99"/>
      <c r="X1" s="100" t="str" cm="1">
        <f t="array" ref="X1">IF(AND(OR('NonQM (LP)'!U11=B9:B11),OR('NonQM (LP)'!U23=L4:L6)),V4,V3)</f>
        <v>Not Applicable</v>
      </c>
      <c r="Y1" s="98" t="s">
        <v>206</v>
      </c>
      <c r="Z1" s="461" t="b" cm="1">
        <f t="array" ref="Z1">IF(AND(OR('NonQM (LP)'!U17=D3:D4),OR('NonQM (LP)'!U22=J3:J7)),0.25)</f>
        <v>0</v>
      </c>
      <c r="AA1" s="101" t="s">
        <v>207</v>
      </c>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102" t="s">
        <v>31</v>
      </c>
      <c r="O2" s="492" t="s">
        <v>31</v>
      </c>
      <c r="P2" s="492" t="s">
        <v>31</v>
      </c>
      <c r="Q2" s="102" t="s">
        <v>31</v>
      </c>
      <c r="R2" s="102" t="s">
        <v>31</v>
      </c>
      <c r="S2" s="102" t="s">
        <v>31</v>
      </c>
      <c r="T2" s="102" t="s">
        <v>31</v>
      </c>
      <c r="U2" s="103"/>
      <c r="V2" s="98" t="s">
        <v>208</v>
      </c>
      <c r="W2" s="99"/>
      <c r="X2" s="100" t="str" cm="1">
        <f t="array" ref="X2">IF(AND(OR('NonQM (LP)'!U11=B3:B8),OR('NonQM (LP)'!U13=C3:C4),OR('NonQM (LP)'!U23=L4:L6)),V4,V3)</f>
        <v>Not Applicable</v>
      </c>
      <c r="Y2" s="98"/>
      <c r="Z2" s="100"/>
      <c r="AA2" s="110"/>
      <c r="AC2" s="92"/>
      <c r="AD2" s="92"/>
    </row>
    <row r="3" spans="1:31" x14ac:dyDescent="0.25">
      <c r="A3" s="92" t="s">
        <v>22</v>
      </c>
      <c r="B3" s="102" t="s">
        <v>12</v>
      </c>
      <c r="C3" s="102" t="s">
        <v>48</v>
      </c>
      <c r="D3" s="105" t="s">
        <v>209</v>
      </c>
      <c r="E3" s="102" t="s">
        <v>210</v>
      </c>
      <c r="F3" s="102" t="s">
        <v>211</v>
      </c>
      <c r="G3" s="102" t="s">
        <v>80</v>
      </c>
      <c r="H3" s="102" t="s">
        <v>102</v>
      </c>
      <c r="I3" s="102" t="s">
        <v>56</v>
      </c>
      <c r="J3" t="s">
        <v>68</v>
      </c>
      <c r="K3" s="102" t="s">
        <v>212</v>
      </c>
      <c r="L3" s="102" t="s">
        <v>213</v>
      </c>
      <c r="M3" s="102" t="s">
        <v>135</v>
      </c>
      <c r="N3" s="102" t="s">
        <v>214</v>
      </c>
      <c r="O3" s="492" t="s">
        <v>215</v>
      </c>
      <c r="P3" s="492" t="s">
        <v>216</v>
      </c>
      <c r="Q3" s="102" t="s">
        <v>217</v>
      </c>
      <c r="R3" s="102" t="s">
        <v>67</v>
      </c>
      <c r="S3" s="102" t="s">
        <v>67</v>
      </c>
      <c r="T3" s="102" t="s">
        <v>226</v>
      </c>
      <c r="U3" s="103"/>
      <c r="V3" s="106" t="s">
        <v>74</v>
      </c>
      <c r="W3" s="99"/>
      <c r="X3" s="99"/>
      <c r="Y3" s="98" t="s">
        <v>219</v>
      </c>
      <c r="Z3" s="100" cm="1">
        <f t="array" ref="Z3">IF(AND(OR('NonQM (LP)'!U12=A9:A12),OR('NonQM (LP)'!U22=J5:J7)),VLOOKUP($Y$3,'NonQM (LP)'!$G$26:$I$82,3,FALSE),0)</f>
        <v>0</v>
      </c>
      <c r="AA3" s="99" t="s">
        <v>219</v>
      </c>
      <c r="AB3" s="92"/>
      <c r="AC3" s="92"/>
      <c r="AD3" s="92"/>
    </row>
    <row r="4" spans="1:31" x14ac:dyDescent="0.25">
      <c r="A4" s="92" t="s">
        <v>24</v>
      </c>
      <c r="B4" s="102" t="s">
        <v>13</v>
      </c>
      <c r="C4" s="102" t="s">
        <v>28</v>
      </c>
      <c r="D4" s="105" t="s">
        <v>220</v>
      </c>
      <c r="E4" s="105" t="s">
        <v>59</v>
      </c>
      <c r="F4" s="102" t="s">
        <v>221</v>
      </c>
      <c r="G4" s="92" t="s">
        <v>82</v>
      </c>
      <c r="H4" s="102" t="s">
        <v>107</v>
      </c>
      <c r="I4" s="102" t="s">
        <v>151</v>
      </c>
      <c r="J4" t="s">
        <v>70</v>
      </c>
      <c r="K4" s="102" t="s">
        <v>99</v>
      </c>
      <c r="L4" s="102" t="s">
        <v>97</v>
      </c>
      <c r="M4" s="102" t="s">
        <v>53</v>
      </c>
      <c r="N4" s="102" t="s">
        <v>65</v>
      </c>
      <c r="O4" s="492"/>
      <c r="P4" s="492" t="s">
        <v>222</v>
      </c>
      <c r="Q4" s="102" t="s">
        <v>223</v>
      </c>
      <c r="R4" s="108" t="s">
        <v>224</v>
      </c>
      <c r="S4" s="109" t="s">
        <v>225</v>
      </c>
      <c r="T4" s="102" t="s">
        <v>218</v>
      </c>
      <c r="U4" s="103"/>
      <c r="V4" s="106" t="s">
        <v>225</v>
      </c>
      <c r="W4" s="99"/>
      <c r="X4" s="99"/>
      <c r="Y4" s="106" t="s">
        <v>74</v>
      </c>
      <c r="Z4" s="99"/>
      <c r="AA4" s="110" t="s">
        <v>227</v>
      </c>
      <c r="AB4"/>
      <c r="AC4"/>
      <c r="AD4" s="92"/>
    </row>
    <row r="5" spans="1:31" ht="15.75" thickBot="1" x14ac:dyDescent="0.3">
      <c r="A5" s="92" t="s">
        <v>26</v>
      </c>
      <c r="B5" s="102" t="s">
        <v>14</v>
      </c>
      <c r="C5" s="370" t="s">
        <v>179</v>
      </c>
      <c r="D5" s="370" t="s">
        <v>176</v>
      </c>
      <c r="E5" s="105" t="s">
        <v>57</v>
      </c>
      <c r="F5" s="102" t="s">
        <v>228</v>
      </c>
      <c r="G5" s="102" t="s">
        <v>776</v>
      </c>
      <c r="H5" s="102" t="s">
        <v>112</v>
      </c>
      <c r="I5" s="102"/>
      <c r="J5" t="s">
        <v>75</v>
      </c>
      <c r="K5" s="102" t="s">
        <v>100</v>
      </c>
      <c r="L5" s="102" t="s">
        <v>229</v>
      </c>
      <c r="M5" s="102" t="s">
        <v>230</v>
      </c>
      <c r="N5" s="102" t="s">
        <v>106</v>
      </c>
      <c r="O5" s="492"/>
      <c r="P5" s="492" t="s">
        <v>231</v>
      </c>
      <c r="Q5" s="102" t="s">
        <v>232</v>
      </c>
      <c r="R5" s="111" t="s">
        <v>233</v>
      </c>
      <c r="S5" s="109"/>
      <c r="T5" s="102" t="s">
        <v>894</v>
      </c>
      <c r="U5" s="112"/>
      <c r="V5" s="113"/>
      <c r="W5" s="99"/>
      <c r="X5" s="110"/>
      <c r="Y5" s="106" t="s">
        <v>225</v>
      </c>
      <c r="Z5" s="99"/>
      <c r="AA5" s="99"/>
      <c r="AB5"/>
      <c r="AC5" s="104" t="s">
        <v>227</v>
      </c>
      <c r="AD5"/>
      <c r="AE5"/>
    </row>
    <row r="6" spans="1:31" x14ac:dyDescent="0.25">
      <c r="A6" s="102" t="s">
        <v>29</v>
      </c>
      <c r="B6" s="102" t="s">
        <v>15</v>
      </c>
      <c r="C6" s="370" t="s">
        <v>235</v>
      </c>
      <c r="E6" s="105" t="s">
        <v>54</v>
      </c>
      <c r="F6" s="370" t="s">
        <v>236</v>
      </c>
      <c r="G6" s="102" t="s">
        <v>777</v>
      </c>
      <c r="H6" s="102" t="s">
        <v>116</v>
      </c>
      <c r="I6" s="102"/>
      <c r="J6" t="s">
        <v>72</v>
      </c>
      <c r="K6" s="102" t="s">
        <v>237</v>
      </c>
      <c r="L6" s="102" t="s">
        <v>238</v>
      </c>
      <c r="M6" s="102" t="s">
        <v>239</v>
      </c>
      <c r="N6" s="102" t="s">
        <v>111</v>
      </c>
      <c r="O6" s="492"/>
      <c r="P6" s="492" t="s">
        <v>157</v>
      </c>
      <c r="Q6" s="102"/>
      <c r="R6" s="102"/>
      <c r="S6" s="109"/>
      <c r="T6" s="102" t="s">
        <v>234</v>
      </c>
      <c r="U6"/>
      <c r="W6"/>
      <c r="X6"/>
      <c r="Y6"/>
      <c r="AA6"/>
      <c r="AB6"/>
      <c r="AC6" s="104" t="s">
        <v>227</v>
      </c>
      <c r="AD6"/>
      <c r="AE6"/>
    </row>
    <row r="7" spans="1:31" x14ac:dyDescent="0.25">
      <c r="A7" s="102" t="s">
        <v>32</v>
      </c>
      <c r="B7" s="102" t="s">
        <v>16</v>
      </c>
      <c r="C7" s="370" t="s">
        <v>241</v>
      </c>
      <c r="D7" s="102"/>
      <c r="E7" s="105" t="s">
        <v>61</v>
      </c>
      <c r="G7" s="102" t="s">
        <v>86</v>
      </c>
      <c r="H7" s="114" t="s">
        <v>121</v>
      </c>
      <c r="I7" s="102"/>
      <c r="J7" t="s">
        <v>76</v>
      </c>
      <c r="K7" s="92" t="s">
        <v>242</v>
      </c>
      <c r="L7" s="102"/>
      <c r="M7" s="102" t="s">
        <v>140</v>
      </c>
      <c r="N7" s="102" t="s">
        <v>243</v>
      </c>
      <c r="O7" s="492"/>
      <c r="P7" s="492" t="s">
        <v>204</v>
      </c>
      <c r="Q7" s="102"/>
      <c r="R7" s="95"/>
      <c r="S7"/>
      <c r="T7" s="102" t="s">
        <v>251</v>
      </c>
      <c r="U7" s="102"/>
      <c r="W7"/>
      <c r="X7" t="s">
        <v>245</v>
      </c>
      <c r="Y7"/>
      <c r="Z7" s="1074" t="s">
        <v>931</v>
      </c>
      <c r="AA7"/>
      <c r="AB7"/>
      <c r="AC7" s="104" t="s">
        <v>227</v>
      </c>
      <c r="AD7"/>
      <c r="AE7"/>
    </row>
    <row r="8" spans="1:31" x14ac:dyDescent="0.25">
      <c r="A8" s="102" t="s">
        <v>35</v>
      </c>
      <c r="B8" s="102" t="s">
        <v>17</v>
      </c>
      <c r="C8" s="370" t="s">
        <v>182</v>
      </c>
      <c r="D8" s="102"/>
      <c r="E8" s="102" t="s">
        <v>63</v>
      </c>
      <c r="G8" s="102" t="s">
        <v>87</v>
      </c>
      <c r="H8" s="114" t="s">
        <v>125</v>
      </c>
      <c r="I8" s="102"/>
      <c r="J8" s="102"/>
      <c r="K8" s="102" t="s">
        <v>98</v>
      </c>
      <c r="L8" s="102"/>
      <c r="M8" s="102" t="s">
        <v>142</v>
      </c>
      <c r="N8" s="102"/>
      <c r="O8" s="492"/>
      <c r="P8" s="492"/>
      <c r="Q8" s="102"/>
      <c r="R8" s="102"/>
      <c r="S8"/>
      <c r="T8" s="102" t="s">
        <v>187</v>
      </c>
      <c r="U8" s="102"/>
      <c r="V8"/>
      <c r="W8"/>
      <c r="X8" t="s">
        <v>247</v>
      </c>
      <c r="Y8"/>
      <c r="Z8" s="1074" t="s">
        <v>932</v>
      </c>
      <c r="AA8"/>
      <c r="AB8"/>
      <c r="AC8" s="104" t="s">
        <v>227</v>
      </c>
      <c r="AD8"/>
      <c r="AE8"/>
    </row>
    <row r="9" spans="1:31" x14ac:dyDescent="0.25">
      <c r="A9" s="102" t="s">
        <v>38</v>
      </c>
      <c r="B9" s="102" t="s">
        <v>18</v>
      </c>
      <c r="C9" s="366" t="s">
        <v>183</v>
      </c>
      <c r="D9" s="102"/>
      <c r="E9" s="92" t="s">
        <v>737</v>
      </c>
      <c r="F9" s="102"/>
      <c r="G9" s="102" t="s">
        <v>89</v>
      </c>
      <c r="H9" s="102" t="s">
        <v>129</v>
      </c>
      <c r="I9" s="102"/>
      <c r="J9" s="102"/>
      <c r="K9" s="102" t="s">
        <v>248</v>
      </c>
      <c r="L9" s="102"/>
      <c r="M9" s="102" t="s">
        <v>249</v>
      </c>
      <c r="N9" s="102"/>
      <c r="O9" s="492"/>
      <c r="P9" s="492"/>
      <c r="Q9" s="102"/>
      <c r="R9" s="102"/>
      <c r="S9"/>
      <c r="T9" s="102" t="s">
        <v>188</v>
      </c>
      <c r="U9" s="102"/>
      <c r="V9"/>
      <c r="W9"/>
      <c r="X9"/>
      <c r="Y9"/>
      <c r="Z9"/>
      <c r="AA9"/>
      <c r="AB9"/>
      <c r="AC9" s="104" t="s">
        <v>227</v>
      </c>
      <c r="AD9"/>
      <c r="AE9"/>
    </row>
    <row r="10" spans="1:31" x14ac:dyDescent="0.25">
      <c r="A10" s="102" t="s">
        <v>40</v>
      </c>
      <c r="B10" s="102" t="s">
        <v>19</v>
      </c>
      <c r="C10" s="366" t="s">
        <v>184</v>
      </c>
      <c r="D10" s="109"/>
      <c r="E10" s="105" t="s">
        <v>186</v>
      </c>
      <c r="F10" s="102"/>
      <c r="G10" s="102" t="s">
        <v>90</v>
      </c>
      <c r="H10" s="102" t="s">
        <v>131</v>
      </c>
      <c r="I10" s="102"/>
      <c r="J10" s="102"/>
      <c r="K10" s="92" t="s">
        <v>820</v>
      </c>
      <c r="L10" s="102"/>
      <c r="M10" s="102" t="s">
        <v>144</v>
      </c>
      <c r="N10" s="102"/>
      <c r="O10" s="492"/>
      <c r="P10" s="492"/>
      <c r="Q10" s="102"/>
      <c r="R10" s="102"/>
      <c r="S10"/>
      <c r="T10" s="102" t="s">
        <v>189</v>
      </c>
      <c r="U10" s="102"/>
      <c r="V10"/>
      <c r="W10"/>
      <c r="X10"/>
      <c r="Y10"/>
      <c r="Z10"/>
      <c r="AA10"/>
      <c r="AB10"/>
      <c r="AC10" s="104" t="s">
        <v>227</v>
      </c>
      <c r="AD10"/>
      <c r="AE10"/>
    </row>
    <row r="11" spans="1:31" x14ac:dyDescent="0.25">
      <c r="A11" s="102" t="s">
        <v>42</v>
      </c>
      <c r="B11" s="102" t="s">
        <v>20</v>
      </c>
      <c r="D11" s="109"/>
      <c r="E11" s="102"/>
      <c r="F11" s="102"/>
      <c r="G11" s="102" t="s">
        <v>91</v>
      </c>
      <c r="H11" s="102" t="s">
        <v>133</v>
      </c>
      <c r="I11" s="102"/>
      <c r="J11" s="107"/>
      <c r="L11" s="102"/>
      <c r="M11" s="102" t="s">
        <v>147</v>
      </c>
      <c r="N11" s="102"/>
      <c r="O11" s="492"/>
      <c r="P11" s="492"/>
      <c r="Q11" s="102"/>
      <c r="R11" s="102"/>
      <c r="S11" s="109"/>
      <c r="T11" s="102" t="s">
        <v>240</v>
      </c>
      <c r="U11" s="102"/>
      <c r="V11"/>
      <c r="W11"/>
      <c r="X11"/>
      <c r="Y11"/>
      <c r="Z11"/>
      <c r="AA11"/>
      <c r="AB11"/>
      <c r="AD11"/>
      <c r="AE11"/>
    </row>
    <row r="12" spans="1:31" x14ac:dyDescent="0.25">
      <c r="A12" s="102" t="s">
        <v>44</v>
      </c>
      <c r="B12" s="102"/>
      <c r="C12" s="102"/>
      <c r="D12" s="109"/>
      <c r="E12" s="102"/>
      <c r="G12" s="102" t="s">
        <v>92</v>
      </c>
      <c r="H12" s="102" t="s">
        <v>136</v>
      </c>
      <c r="I12" s="102"/>
      <c r="J12" s="107"/>
      <c r="L12" s="102"/>
      <c r="M12" s="102" t="s">
        <v>252</v>
      </c>
      <c r="N12" s="102"/>
      <c r="O12" s="492"/>
      <c r="P12" s="492"/>
      <c r="Q12" s="102"/>
      <c r="R12" s="102"/>
      <c r="S12" s="109"/>
      <c r="T12" s="102" t="s">
        <v>244</v>
      </c>
      <c r="U12" s="102"/>
      <c r="V12"/>
      <c r="W12"/>
      <c r="X12"/>
      <c r="Y12"/>
      <c r="Z12"/>
      <c r="AA12"/>
      <c r="AB12"/>
      <c r="AC12" s="104" t="s">
        <v>227</v>
      </c>
      <c r="AD12"/>
    </row>
    <row r="13" spans="1:31" x14ac:dyDescent="0.25">
      <c r="B13" s="102"/>
      <c r="C13" s="102" t="s">
        <v>30</v>
      </c>
      <c r="D13" s="102" t="s">
        <v>33</v>
      </c>
      <c r="E13" s="102" t="s">
        <v>36</v>
      </c>
      <c r="G13" s="102" t="s">
        <v>93</v>
      </c>
      <c r="H13" s="92" t="s">
        <v>138</v>
      </c>
      <c r="I13" s="102"/>
      <c r="J13" s="116" t="s">
        <v>253</v>
      </c>
      <c r="K13" s="102"/>
      <c r="L13" s="102"/>
      <c r="M13" s="102" t="s">
        <v>150</v>
      </c>
      <c r="N13" s="102"/>
      <c r="O13" s="492"/>
      <c r="P13" s="492"/>
      <c r="Q13" s="102"/>
      <c r="R13" s="102"/>
      <c r="S13" s="109"/>
      <c r="T13" s="102" t="s">
        <v>250</v>
      </c>
      <c r="U13"/>
      <c r="V13"/>
      <c r="W13"/>
      <c r="X13"/>
      <c r="Y13"/>
      <c r="Z13"/>
      <c r="AA13"/>
      <c r="AB13"/>
      <c r="AC13" s="104" t="s">
        <v>227</v>
      </c>
    </row>
    <row r="14" spans="1:31" x14ac:dyDescent="0.25">
      <c r="C14" s="102" t="s">
        <v>31</v>
      </c>
      <c r="D14" s="102" t="s">
        <v>31</v>
      </c>
      <c r="E14" s="102" t="s">
        <v>31</v>
      </c>
      <c r="G14" s="401" t="s">
        <v>254</v>
      </c>
      <c r="H14" s="92" t="s">
        <v>141</v>
      </c>
      <c r="R14" s="117"/>
      <c r="S14" s="117"/>
      <c r="T14" s="102" t="s">
        <v>191</v>
      </c>
      <c r="U14" s="117"/>
      <c r="V14" s="117"/>
      <c r="W14" s="117"/>
      <c r="X14" s="117"/>
      <c r="Y14" s="117"/>
      <c r="Z14" s="117"/>
      <c r="AA14" s="117"/>
      <c r="AB14" s="117"/>
    </row>
    <row r="15" spans="1:31" x14ac:dyDescent="0.25">
      <c r="C15" s="92" t="s">
        <v>255</v>
      </c>
      <c r="D15" s="92" t="s">
        <v>34</v>
      </c>
      <c r="E15" s="92" t="s">
        <v>171</v>
      </c>
      <c r="G15" s="366"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92" t="s">
        <v>172</v>
      </c>
      <c r="G16" s="402"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92" t="s">
        <v>173</v>
      </c>
      <c r="G17" s="402" t="s">
        <v>225</v>
      </c>
      <c r="H17" s="115" t="s">
        <v>263</v>
      </c>
      <c r="N17" s="102"/>
      <c r="R17" s="117"/>
      <c r="S17" s="117"/>
      <c r="T17" s="102" t="s">
        <v>193</v>
      </c>
      <c r="U17" s="117"/>
      <c r="V17" s="117"/>
      <c r="W17" s="117"/>
      <c r="X17" s="117"/>
      <c r="Y17" s="117"/>
      <c r="Z17" s="117"/>
      <c r="AA17" s="117"/>
      <c r="AB17" s="117"/>
    </row>
    <row r="18" spans="1:29" x14ac:dyDescent="0.25">
      <c r="C18" s="92" t="s">
        <v>264</v>
      </c>
      <c r="D18" s="92" t="s">
        <v>168</v>
      </c>
      <c r="E18" s="92" t="s">
        <v>174</v>
      </c>
      <c r="N18"/>
      <c r="R18" s="117"/>
      <c r="S18" s="117"/>
      <c r="T18" s="117"/>
      <c r="U18" s="117"/>
      <c r="V18" s="117"/>
      <c r="W18" s="117"/>
      <c r="X18" s="117"/>
      <c r="Y18" s="117"/>
      <c r="Z18" s="117"/>
      <c r="AA18" s="117"/>
      <c r="AB18" s="117"/>
    </row>
    <row r="19" spans="1:29" x14ac:dyDescent="0.25">
      <c r="D19" s="92" t="s">
        <v>169</v>
      </c>
      <c r="E19" s="92" t="s">
        <v>37</v>
      </c>
      <c r="H19" s="118" t="s">
        <v>67</v>
      </c>
      <c r="N19"/>
      <c r="R19" s="117"/>
      <c r="S19" s="117"/>
      <c r="T19" s="117"/>
      <c r="U19" s="117"/>
      <c r="V19" s="117"/>
      <c r="W19" s="117"/>
      <c r="X19" s="117"/>
      <c r="Y19" s="117"/>
      <c r="Z19" s="117"/>
      <c r="AA19" s="117"/>
      <c r="AB19" s="117"/>
    </row>
    <row r="20" spans="1:29" x14ac:dyDescent="0.25">
      <c r="D20" s="92" t="s">
        <v>170</v>
      </c>
      <c r="H20" s="118" t="s">
        <v>225</v>
      </c>
      <c r="N20"/>
      <c r="R20" s="117"/>
      <c r="S20" s="117"/>
      <c r="T20" s="117"/>
      <c r="U20" s="117"/>
      <c r="V20" s="117"/>
      <c r="W20" s="117"/>
      <c r="X20" s="117"/>
      <c r="Y20" s="117"/>
      <c r="Z20" s="117"/>
      <c r="AA20" s="117"/>
      <c r="AB20" s="117"/>
    </row>
    <row r="21" spans="1:29" x14ac:dyDescent="0.25">
      <c r="N21"/>
      <c r="R21" s="117"/>
      <c r="S21" s="117"/>
      <c r="T21" s="117"/>
      <c r="U21" s="117"/>
      <c r="V21" s="117"/>
      <c r="W21" s="117"/>
      <c r="X21" s="117"/>
      <c r="Y21" s="117"/>
      <c r="Z21" s="117"/>
      <c r="AA21" s="117"/>
      <c r="AB21" s="117"/>
    </row>
    <row r="22" spans="1:29" x14ac:dyDescent="0.25">
      <c r="E22"/>
      <c r="F22"/>
      <c r="G22"/>
      <c r="I22"/>
      <c r="J22"/>
      <c r="N22"/>
      <c r="S22"/>
      <c r="U22"/>
      <c r="V22"/>
      <c r="W22"/>
      <c r="X22"/>
      <c r="Y22"/>
      <c r="Z22"/>
      <c r="AA22"/>
      <c r="AB22"/>
      <c r="AC22" s="104" t="s">
        <v>227</v>
      </c>
    </row>
    <row r="23" spans="1:29" x14ac:dyDescent="0.25">
      <c r="E23"/>
      <c r="F23"/>
      <c r="G23"/>
      <c r="J23"/>
      <c r="S23"/>
      <c r="U23"/>
      <c r="V23"/>
      <c r="W23"/>
      <c r="X23"/>
      <c r="Y23"/>
      <c r="Z23"/>
      <c r="AA23"/>
      <c r="AB23"/>
      <c r="AC23" s="104" t="s">
        <v>227</v>
      </c>
    </row>
    <row r="24" spans="1:29" x14ac:dyDescent="0.25">
      <c r="E24"/>
      <c r="F24"/>
      <c r="G24"/>
      <c r="J24"/>
      <c r="S24"/>
      <c r="U24"/>
      <c r="V24"/>
      <c r="W24"/>
      <c r="X24"/>
      <c r="Y24"/>
      <c r="Z24"/>
      <c r="AA24"/>
      <c r="AB24"/>
      <c r="AC24" s="104" t="s">
        <v>227</v>
      </c>
    </row>
    <row r="25" spans="1:29" x14ac:dyDescent="0.25">
      <c r="E25"/>
      <c r="F25"/>
      <c r="G25"/>
      <c r="J25"/>
      <c r="P25" s="493"/>
      <c r="S25"/>
      <c r="U25"/>
      <c r="V25"/>
      <c r="W25"/>
      <c r="X25"/>
      <c r="Y25"/>
      <c r="Z25"/>
      <c r="AA25"/>
      <c r="AB25"/>
      <c r="AC25" s="104" t="s">
        <v>227</v>
      </c>
    </row>
    <row r="26" spans="1:29" x14ac:dyDescent="0.25">
      <c r="E26"/>
      <c r="F26"/>
      <c r="G26"/>
      <c r="J26"/>
      <c r="S26"/>
      <c r="U26"/>
      <c r="V26"/>
      <c r="W26"/>
      <c r="X26"/>
      <c r="Y26"/>
      <c r="Z26"/>
      <c r="AA26"/>
      <c r="AB26"/>
      <c r="AC26" s="104" t="s">
        <v>227</v>
      </c>
    </row>
    <row r="27" spans="1:29" x14ac:dyDescent="0.25">
      <c r="E27"/>
      <c r="F27"/>
      <c r="G27"/>
      <c r="I27" s="120"/>
      <c r="S27"/>
      <c r="U27"/>
      <c r="V27"/>
      <c r="W27"/>
      <c r="X27"/>
      <c r="Y27"/>
      <c r="Z27"/>
      <c r="AA27"/>
      <c r="AB27"/>
      <c r="AC27" s="104" t="s">
        <v>227</v>
      </c>
    </row>
    <row r="28" spans="1:29" x14ac:dyDescent="0.25">
      <c r="E28"/>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IF(AND(OR('NonQM (LP)'!U11='Feed(WS)'!B6:B11),'NonQM (LP)'!U13="No Ratio (0.75-0.99)"),TRUE,FALSE)</f>
        <v>0</v>
      </c>
      <c r="F30"/>
      <c r="G30"/>
      <c r="H30"/>
      <c r="S30"/>
      <c r="U30"/>
      <c r="V30" s="1074" t="s">
        <v>933</v>
      </c>
      <c r="W30"/>
      <c r="X30"/>
      <c r="Y30"/>
      <c r="Z30"/>
      <c r="AA30"/>
      <c r="AB30"/>
      <c r="AC30" s="104" t="s">
        <v>227</v>
      </c>
    </row>
    <row r="31" spans="1:29" x14ac:dyDescent="0.25">
      <c r="A31" s="102"/>
      <c r="B31" s="102"/>
      <c r="S31"/>
      <c r="U31"/>
      <c r="V31" s="1074" t="s">
        <v>934</v>
      </c>
      <c r="W31"/>
      <c r="X31"/>
      <c r="Y31"/>
      <c r="Z31"/>
      <c r="AA31"/>
      <c r="AB31"/>
      <c r="AC31" s="104" t="s">
        <v>227</v>
      </c>
    </row>
    <row r="32" spans="1:29" x14ac:dyDescent="0.25">
      <c r="A32" s="102"/>
      <c r="B32" s="102"/>
      <c r="S32"/>
      <c r="U32"/>
      <c r="V32" s="1074" t="s">
        <v>934</v>
      </c>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s="493"/>
      <c r="P35" s="493"/>
      <c r="Q35"/>
      <c r="R35"/>
      <c r="S35"/>
      <c r="T35"/>
      <c r="U35"/>
      <c r="V35"/>
      <c r="W35"/>
      <c r="X35"/>
      <c r="Y35"/>
      <c r="Z35"/>
      <c r="AA35"/>
      <c r="AB35"/>
      <c r="AC35" s="104" t="s">
        <v>227</v>
      </c>
    </row>
    <row r="36" spans="1:42" x14ac:dyDescent="0.25">
      <c r="L36"/>
      <c r="O36" s="493"/>
      <c r="P36" s="493"/>
      <c r="Q36"/>
      <c r="R36"/>
      <c r="S36"/>
      <c r="T36"/>
      <c r="U36" s="122" t="s">
        <v>267</v>
      </c>
      <c r="V36"/>
      <c r="W36"/>
      <c r="X36"/>
      <c r="Y36" s="122" t="s">
        <v>268</v>
      </c>
      <c r="Z36"/>
      <c r="AA36"/>
      <c r="AB36"/>
    </row>
    <row r="37" spans="1:42" x14ac:dyDescent="0.25">
      <c r="F37" s="122" t="s">
        <v>269</v>
      </c>
      <c r="L37" s="122" t="s">
        <v>270</v>
      </c>
      <c r="O37" s="493"/>
      <c r="P37" s="493"/>
      <c r="Q37" s="122" t="s">
        <v>271</v>
      </c>
      <c r="R37"/>
      <c r="S37"/>
      <c r="T37"/>
      <c r="U37" s="92" t="s">
        <v>272</v>
      </c>
      <c r="V37" s="153" t="str">
        <f>IF(AND(
   ISNUMBER(MATCH('NonQM (LP)'!$U$12, $A$3:$A$7, 0)),
   ISNUMBER(MATCH('NonQM (LP)'!$U$11, $B$11, 0)),
   ISNUMBER(MATCH('NonQM (LP)'!$U$15, $D$16, 0)),
   ISNUMBER(MATCH('NonQM (LP)'!$U$22, $J$3:$J$5, 0)),
   ISNUMBER(MATCH('NonQM (LP)'!$U$21, $G$5:$G$7, 0)),
   'NonQM (LP)'!$U$13 = $C$4
), NA(), "")</f>
        <v/>
      </c>
      <c r="W37" s="92" t="s">
        <v>273</v>
      </c>
      <c r="Y37" s="92" t="s">
        <v>272</v>
      </c>
      <c r="Z37" s="153" t="str">
        <f>IF(AND(
   ISNUMBER(MATCH('NonQM (LP)'!$U$12, $A$3:$A$7, 0)),
   ISNUMBER(MATCH('NonQM (LP)'!$U$11, $B$10:$B$11, 0)),
   ISNUMBER(MATCH('NonQM (LP)'!$U$15, $D$18, 0)),
   ISNUMBER(MATCH('NonQM (LP)'!$U$22, $J$3:$J$5, 0)),
   ISNUMBER(MATCH('NonQM (LP)'!$U$21, $G$5:$G$7, 0)),
   'NonQM (LP)'!$U$13 = $C$4
), NA(), "")</f>
        <v/>
      </c>
      <c r="AA37" s="92" t="s">
        <v>274</v>
      </c>
      <c r="AG37" s="122" t="s">
        <v>275</v>
      </c>
      <c r="AH37"/>
      <c r="AI37"/>
      <c r="AJ37"/>
      <c r="AK37" s="122" t="s">
        <v>276</v>
      </c>
      <c r="AL37"/>
      <c r="AM37"/>
      <c r="AN37"/>
      <c r="AO37" s="104" t="s">
        <v>227</v>
      </c>
      <c r="AP37" s="104"/>
    </row>
    <row r="38" spans="1:42" x14ac:dyDescent="0.25">
      <c r="A38" s="123" t="s">
        <v>277</v>
      </c>
      <c r="C38" s="102"/>
      <c r="D38" s="102"/>
      <c r="F38" s="92" t="s">
        <v>278</v>
      </c>
      <c r="G38" s="153" t="str" cm="1">
        <f t="array" ref="G38">IF(AND(OR('NonQM (LP)'!U15=D15:D18),'NonQM (LP)'!U13=C3),NA(),"")</f>
        <v/>
      </c>
      <c r="H38" s="92" t="s">
        <v>279</v>
      </c>
      <c r="L38" s="92" t="s">
        <v>280</v>
      </c>
      <c r="M38" s="153"/>
      <c r="N38" s="92" t="s">
        <v>281</v>
      </c>
      <c r="O38" s="493"/>
      <c r="P38" s="493"/>
      <c r="Q38" s="92" t="s">
        <v>282</v>
      </c>
      <c r="R38" s="153" t="str" cm="1">
        <f t="array" ref="R38">IF(AND('NonQM (LP)'!U12=A8,OR('NonQM (LP)'!U21=G8:G13),OR('NonQM (LP)'!U11=B10:B11),OR('NonQM (LP)'!U22=J3),'NonQM (LP)'!U13=C4),NA(),"")</f>
        <v/>
      </c>
      <c r="S38" s="92" t="s">
        <v>659</v>
      </c>
      <c r="T38"/>
      <c r="U38" s="92" t="s">
        <v>272</v>
      </c>
      <c r="V38" s="153" t="str">
        <f>IF(AND(
   ISNUMBER(MATCH('NonQM (LP)'!$U$12, $A$8, 0)),
   ISNUMBER(MATCH('NonQM (LP)'!$U$11, $B$10:$B$11, 0)),
   ISNUMBER(MATCH('NonQM (LP)'!$U$15, $D$16, 0)),
   ISNUMBER(MATCH('NonQM (LP)'!$U$22, $J$3, 0)),
   ISNUMBER(MATCH('NonQM (LP)'!$U$21, $G$5:$G$7, 0)),
   'NonQM (LP)'!$U$13 = $C$4
), NA(), "")</f>
        <v/>
      </c>
      <c r="W38" s="92" t="s">
        <v>284</v>
      </c>
      <c r="Y38" s="92" t="s">
        <v>272</v>
      </c>
      <c r="Z38" s="153" t="str">
        <f>IF(AND(
   ISNUMBER(MATCH('NonQM (LP)'!$U$12, $A$8, 0)),
   ISNUMBER(MATCH('NonQM (LP)'!$U$11, $B$9:$B$11, 0)),
   ISNUMBER(MATCH('NonQM (LP)'!$U$15, $D$18, 0)),
   ISNUMBER(MATCH('NonQM (LP)'!$U$22, $J$3:$J$5, 0)),
   ISNUMBER(MATCH('NonQM (LP)'!$U$21, $G$5:$G$7, 0)),
   'NonQM (LP)'!$U$13 = $C$4
), NA(), "")</f>
        <v/>
      </c>
      <c r="AA38" s="92" t="s">
        <v>285</v>
      </c>
      <c r="AG38" t="s">
        <v>286</v>
      </c>
      <c r="AH38" s="342" t="str">
        <f>IF(AND(
   ISNUMBER(MATCH('NonQM (LP)'!$U$12, $C$3:$C$9, 0)),
   'NonQM (LP)'!$U$29 = $T$15
), NA(), "")</f>
        <v/>
      </c>
      <c r="AI38" t="s">
        <v>287</v>
      </c>
      <c r="AJ38"/>
      <c r="AK38" t="s">
        <v>288</v>
      </c>
      <c r="AL38" s="342"/>
      <c r="AM38" t="s">
        <v>289</v>
      </c>
      <c r="AN38"/>
      <c r="AO38" s="104" t="s">
        <v>227</v>
      </c>
      <c r="AP38" s="104"/>
    </row>
    <row r="39" spans="1:42" x14ac:dyDescent="0.25">
      <c r="A39" s="113" t="s">
        <v>157</v>
      </c>
      <c r="B39" s="576" t="str">
        <f>IF(AND('NonQM (LP)'!U19='Feed(WS)'!P6,'NonQM (LP)'!U11=B11),NA(),"")</f>
        <v/>
      </c>
      <c r="C39" s="102" t="s">
        <v>290</v>
      </c>
      <c r="D39" s="102"/>
      <c r="F39" s="92" t="s">
        <v>291</v>
      </c>
      <c r="G39" s="153" t="str" cm="1">
        <f t="array" ref="G39">IF(AND(OR('NonQM (LP)'!U14=C15:C16),'NonQM (LP)'!U13=C3),NA(),"")</f>
        <v/>
      </c>
      <c r="H39" s="92" t="s">
        <v>292</v>
      </c>
      <c r="L39" s="92" t="s">
        <v>280</v>
      </c>
      <c r="M39" s="153"/>
      <c r="N39" s="92" t="s">
        <v>293</v>
      </c>
      <c r="O39" s="493"/>
      <c r="P39" s="493"/>
      <c r="Q39" s="92" t="s">
        <v>294</v>
      </c>
      <c r="R39" s="153" t="str" cm="1">
        <f t="array" ref="R39">IF(AND('NonQM (LP)'!U12=A8,OR('NonQM (LP)'!U21=G8),OR('NonQM (LP)'!U11=B10:B11),'NonQM (LP)'!U13=C4),NA(),"")</f>
        <v/>
      </c>
      <c r="S39" s="92" t="s">
        <v>295</v>
      </c>
      <c r="T39"/>
      <c r="U39" s="92" t="s">
        <v>272</v>
      </c>
      <c r="V39" s="153" t="str">
        <f>IF(AND(
   ISNUMBER(MATCH('NonQM (LP)'!$U$12, $A$9:$A$12, 0)),
   ISNUMBER(MATCH('NonQM (LP)'!$U$11, $B$9:$B$11, 0)),
   ISNUMBER(MATCH('NonQM (LP)'!$U$15, $D$16, 0)),
   ISNUMBER(MATCH('NonQM (LP)'!$U$22, $J$3:$J$5, 0)),
   ISNUMBER(MATCH('NonQM (LP)'!$U$21, $G$5:$G$7, 0)),
   'NonQM (LP)'!$U$13 = $C$4
), NA(), "")</f>
        <v/>
      </c>
      <c r="W39" s="92" t="s">
        <v>296</v>
      </c>
      <c r="Y39" s="92" t="s">
        <v>272</v>
      </c>
      <c r="Z39" s="153" t="str">
        <f>IF(AND(
   ISNUMBER(MATCH('NonQM (LP)'!$U$12, $A$9:$A$12, 0)),
   ISNUMBER(MATCH('NonQM (LP)'!$U$11, $B$8:$B$11, 0)),
   ISNUMBER(MATCH('NonQM (LP)'!$U$15, $D$18, 0)),
   ISNUMBER(MATCH('NonQM (LP)'!$U$22, $J$3:$J$5, 0)),
   ISNUMBER(MATCH('NonQM (LP)'!$U$21, $G$5:$G$7, 0)),
   'NonQM (LP)'!$U$13 = $C$4
), NA(), "")</f>
        <v/>
      </c>
      <c r="AA39" s="92" t="s">
        <v>297</v>
      </c>
      <c r="AG39"/>
      <c r="AH39" s="342"/>
      <c r="AI39" t="s">
        <v>298</v>
      </c>
      <c r="AJ39"/>
      <c r="AK39" t="s">
        <v>299</v>
      </c>
      <c r="AL39" s="342"/>
      <c r="AM39" t="s">
        <v>300</v>
      </c>
      <c r="AN39"/>
      <c r="AO39" s="104" t="s">
        <v>227</v>
      </c>
      <c r="AP39" s="104"/>
    </row>
    <row r="40" spans="1:42" x14ac:dyDescent="0.25">
      <c r="A40" s="113" t="s">
        <v>157</v>
      </c>
      <c r="B40" s="576" t="str" cm="1">
        <f t="array" ref="B40">IF(AND('NonQM (LP)'!U19='Feed(WS)'!P6,OR('NonQM (LP)'!U12='Feed(WS)'!A10:A12)),NA(),"")</f>
        <v/>
      </c>
      <c r="C40" s="102" t="s">
        <v>301</v>
      </c>
      <c r="D40" s="102"/>
      <c r="F40" s="92" t="s">
        <v>49</v>
      </c>
      <c r="G40" s="153" t="str">
        <f>IF(AND(OR('NonQM (LP)'!U17=D5),'NonQM (LP)'!U13=C3),NA(),"")</f>
        <v/>
      </c>
      <c r="H40" s="92" t="s">
        <v>302</v>
      </c>
      <c r="L40" s="102" t="s">
        <v>176</v>
      </c>
      <c r="M40" s="153"/>
      <c r="N40" s="92" t="s">
        <v>303</v>
      </c>
      <c r="Q40" s="92" t="s">
        <v>294</v>
      </c>
      <c r="R40" s="153" t="str" cm="1">
        <f t="array" ref="R40">IF(AND('NonQM (LP)'!U12=A8,OR('NonQM (LP)'!U21=G9),OR('NonQM (LP)'!U11=B9:B11),'NonQM (LP)'!U13=C4),NA(),"")</f>
        <v/>
      </c>
      <c r="S40" s="92" t="s">
        <v>304</v>
      </c>
      <c r="U40" s="92" t="s">
        <v>272</v>
      </c>
      <c r="V40" s="153" t="str">
        <f>IF(AND(
   ISNUMBER(MATCH('NonQM (LP)'!$U$12, $A$3:$A$7, 0)),
   ISNUMBER(MATCH('NonQM (LP)'!$U$11, $B$10:$B$11, 0)),
   ISNUMBER(MATCH('NonQM (LP)'!$U$15, $D$16, 0)),
   ISNUMBER(MATCH('NonQM (LP)'!$U$22, $J$3, 0)),
   ISNUMBER(MATCH('NonQM (LP)'!$U$21, $G$10:$G$13, 0)),
   'NonQM (LP)'!$U$13 = $C$4
), NA(), "")</f>
        <v/>
      </c>
      <c r="W40" s="92" t="s">
        <v>305</v>
      </c>
      <c r="Y40" s="92" t="s">
        <v>272</v>
      </c>
      <c r="Z40" s="153" t="str">
        <f>IF(AND(
   ISNUMBER(MATCH('NonQM (LP)'!$U$12, $A$3:$A$7, 0)),
   ISNUMBER(MATCH('NonQM (LP)'!$U$11, $B$10:$B$11, 0)),
   ISNUMBER(MATCH('NonQM (LP)'!$U$15, $D$18, 0)),
   ISNUMBER(MATCH('NonQM (LP)'!$U$22, $J$3, 0)),
   ISNUMBER(MATCH('NonQM (LP)'!$U$21, $G$10:$G$13, 0)),
   'NonQM (LP)'!$U$13 = $C$4
), NA(), "")</f>
        <v/>
      </c>
      <c r="AA40" s="92" t="s">
        <v>305</v>
      </c>
      <c r="AG40"/>
      <c r="AH40"/>
      <c r="AI40"/>
      <c r="AJ40"/>
      <c r="AK40"/>
      <c r="AL40"/>
      <c r="AM40"/>
      <c r="AN40"/>
      <c r="AO40" s="104" t="s">
        <v>227</v>
      </c>
      <c r="AP40" s="104"/>
    </row>
    <row r="41" spans="1:42" x14ac:dyDescent="0.25">
      <c r="A41" s="113" t="s">
        <v>157</v>
      </c>
      <c r="B41" s="576" t="str" cm="1">
        <f t="array" ref="B41">IF(AND('NonQM (LP)'!U19='Feed(WS)'!P6,OR('NonQM (LP)'!U21='Feed(WS)'!G8:G13)),NA(),"")</f>
        <v/>
      </c>
      <c r="C41" s="102" t="s">
        <v>306</v>
      </c>
      <c r="D41" s="102"/>
      <c r="F41" s="92" t="s">
        <v>49</v>
      </c>
      <c r="G41" s="153" t="str" cm="1">
        <f t="array" ref="G41">IF(AND(OR('NonQM (LP)'!U23=L4),'NonQM (LP)'!U13=C3,OR('NonQM (LP)'!U11=B9:B11)),NA(),"")</f>
        <v/>
      </c>
      <c r="H41" s="92" t="s">
        <v>307</v>
      </c>
      <c r="J41" s="102"/>
      <c r="K41" s="102"/>
      <c r="L41" s="102" t="s">
        <v>308</v>
      </c>
      <c r="M41" s="153"/>
      <c r="N41" s="92" t="s">
        <v>309</v>
      </c>
      <c r="O41" s="492"/>
      <c r="P41" s="492"/>
      <c r="Q41" s="92" t="s">
        <v>310</v>
      </c>
      <c r="R41" s="153" t="str" cm="1">
        <f t="array" ref="R41">IF(AND('NonQM (LP)'!U12=A8,OR('NonQM (LP)'!U21=G10),OR('NonQM (LP)'!U11=B8:B11),'NonQM (LP)'!U13=C4),NA(),"")</f>
        <v/>
      </c>
      <c r="S41" s="92" t="s">
        <v>311</v>
      </c>
      <c r="U41" s="92" t="s">
        <v>272</v>
      </c>
      <c r="V41" s="153" t="str">
        <f>IF(AND(
   ISNUMBER(MATCH('NonQM (LP)'!$U$12, $A$8, 0)),
   ISNUMBER(MATCH('NonQM (LP)'!$U$11, $B$9:$B$11, 0)),
   ISNUMBER(MATCH('NonQM (LP)'!$U$15, $D$16, 0)),
   ISNUMBER(MATCH('NonQM (LP)'!$U$22, $J$3, 0)),
   ISNUMBER(MATCH('NonQM (LP)'!$U$21, $G$10:$G$13, 0)),
   'NonQM (LP)'!$U$13 = $C$4
), NA(), "")</f>
        <v/>
      </c>
      <c r="W41" s="92" t="s">
        <v>312</v>
      </c>
      <c r="Y41" s="92" t="s">
        <v>272</v>
      </c>
      <c r="Z41" s="153" t="str">
        <f>IF(AND(
   ISNUMBER(MATCH('NonQM (LP)'!$U$12, $A$8, 0)),
   ISNUMBER(MATCH('NonQM (LP)'!$U$11, $B$9:$B$11, 0)),
   ISNUMBER(MATCH('NonQM (LP)'!$U$15, $D$16, 0)),
   ISNUMBER(MATCH('NonQM (LP)'!$U$22, $J$3, 0)),
   ISNUMBER(MATCH('NonQM (LP)'!$U$21, $G$10:$G$13, 0)),
   'NonQM (LP)'!$U$13 = $C$4
), NA(), "")</f>
        <v/>
      </c>
      <c r="AA41" s="92" t="s">
        <v>312</v>
      </c>
      <c r="AG41"/>
      <c r="AH41"/>
      <c r="AI41"/>
      <c r="AJ41"/>
      <c r="AK41"/>
      <c r="AL41"/>
      <c r="AM41"/>
      <c r="AN41"/>
      <c r="AO41" s="104" t="s">
        <v>227</v>
      </c>
      <c r="AP41" s="104"/>
    </row>
    <row r="42" spans="1:42" x14ac:dyDescent="0.25">
      <c r="A42" s="113" t="s">
        <v>157</v>
      </c>
      <c r="B42" s="576" t="str" cm="1">
        <f t="array" ref="B42">IF(AND('NonQM (LP)'!U19='Feed(WS)'!P6,OR('NonQM (LP)'!U11=B10:B11),OR('NonQM (LP)'!U23=L5:L6)),NA(),"")</f>
        <v/>
      </c>
      <c r="C42" s="102" t="s">
        <v>313</v>
      </c>
      <c r="D42" s="102"/>
      <c r="F42" s="92" t="s">
        <v>49</v>
      </c>
      <c r="G42" s="153" t="str" cm="1">
        <f t="array" ref="G42">IF(AND(OR('NonQM (LP)'!U23=L5:L6),'NonQM (LP)'!U13=C3,OR('NonQM (LP)'!U11=B9:B11)),NA(),"")</f>
        <v/>
      </c>
      <c r="H42" s="92" t="s">
        <v>314</v>
      </c>
      <c r="J42" s="102"/>
      <c r="K42" s="102"/>
      <c r="L42" s="102" t="s">
        <v>176</v>
      </c>
      <c r="M42" s="153"/>
      <c r="N42" s="92" t="s">
        <v>315</v>
      </c>
      <c r="O42" s="492"/>
      <c r="P42" s="492"/>
      <c r="Q42" s="92" t="s">
        <v>282</v>
      </c>
      <c r="R42" s="153" t="str">
        <f>IF(AND(
   ISNUMBER(MATCH('NonQM (LP)'!U11, B6:B11, 0)),
   ISNUMBER(MATCH('NonQM (LP)'!U21, G11:G13, 0)),
   ISNUMBER(MATCH('NonQM (LP)'!U12, A7:A8, 0)),ISNUMBER(MATCH('NonQM (LP)'!U22, J3:J4, 0)),
   'NonQM (LP)'!U13 = C4
), NA(), "")</f>
        <v/>
      </c>
      <c r="S42" s="92" t="s">
        <v>316</v>
      </c>
      <c r="U42" s="92" t="s">
        <v>272</v>
      </c>
      <c r="V42" s="153" t="str">
        <f>IF(AND(
   ISNUMBER(MATCH('NonQM (LP)'!$U$12, $A$9:$A$12, 0)),
   ISNUMBER(MATCH('NonQM (LP)'!$U$11, $B$8:$B$11, 0)),
   ISNUMBER(MATCH('NonQM (LP)'!$U$15, $D$16, 0)),
   ISNUMBER(MATCH('NonQM (LP)'!$U$22, $J$3, 0)),
   ISNUMBER(MATCH('NonQM (LP)'!$U$21, $G$10:$G$13, 0)),
   'NonQM (LP)'!$U$13 = $C$4
), NA(), "")</f>
        <v/>
      </c>
      <c r="W42" s="92" t="s">
        <v>317</v>
      </c>
      <c r="Y42" s="92" t="s">
        <v>272</v>
      </c>
      <c r="Z42" s="153" t="str">
        <f>IF(AND(
   ISNUMBER(MATCH('NonQM (LP)'!$U$12, $A$9:$A$12, 0)),
   ISNUMBER(MATCH('NonQM (LP)'!$U$11, $B$8:$B$11, 0)),
   ISNUMBER(MATCH('NonQM (LP)'!$U$15, $D$16, 0)),
   ISNUMBER(MATCH('NonQM (LP)'!$U$22, $J$3, 0)),
   ISNUMBER(MATCH('NonQM (LP)'!$U$21, $G$10:$G$13, 0)),
   'NonQM (LP)'!$U$13 = $C$4
), NA(), "")</f>
        <v/>
      </c>
      <c r="AA42" s="92" t="s">
        <v>317</v>
      </c>
      <c r="AG42" s="92" t="s">
        <v>318</v>
      </c>
      <c r="AH42" s="153" t="str" cm="1">
        <f t="array" ref="AH42">IF(AND(OR('NonQM (LP)'!U23=L5:L6),('NonQM (LP)'!U27=H3),OR('NonQM (LP)'!U29='Feed(WS)'!T3)),NA(),"")</f>
        <v/>
      </c>
      <c r="AI42" s="104" t="s">
        <v>319</v>
      </c>
      <c r="AJ42" s="104"/>
      <c r="AK42" s="122"/>
      <c r="AL42" s="104"/>
      <c r="AM42" s="104"/>
      <c r="AN42" s="104"/>
      <c r="AO42" s="122"/>
      <c r="AP42" s="104"/>
    </row>
    <row r="43" spans="1:42" x14ac:dyDescent="0.25">
      <c r="A43" s="113" t="s">
        <v>320</v>
      </c>
      <c r="B43" s="576" t="str" cm="1">
        <f t="array" ref="B43">IF(AND('NonQM (LP)'!U19='Feed(WS)'!P7,OR('NonQM (LP)'!U12='Feed(WS)'!A8:A12)),NA(),"")</f>
        <v/>
      </c>
      <c r="C43" s="102" t="s">
        <v>321</v>
      </c>
      <c r="D43" s="102"/>
      <c r="F43" s="92" t="s">
        <v>280</v>
      </c>
      <c r="G43" s="153" t="str">
        <f>IF(AND(OR('NonQM (LP)'!U24=K6),'NonQM (LP)'!U13=C3,OR('NonQM (LP)'!U11=B11)),NA(),"")</f>
        <v/>
      </c>
      <c r="H43" s="92" t="s">
        <v>322</v>
      </c>
      <c r="J43" s="102"/>
      <c r="K43" s="102"/>
      <c r="L43" s="102" t="s">
        <v>308</v>
      </c>
      <c r="M43" s="153"/>
      <c r="N43" s="92" t="s">
        <v>323</v>
      </c>
      <c r="O43" s="492"/>
      <c r="P43" s="492"/>
      <c r="Q43" s="92" t="s">
        <v>282</v>
      </c>
      <c r="R43" s="153" t="str">
        <f>IF(AND(
   ISNUMBER(MATCH('NonQM (LP)'!U11, B3:B11, 0)),
   ISNUMBER(MATCH('NonQM (LP)'!U21, G12:G13, 0)),
   ISNUMBER(MATCH('NonQM (LP)'!U12, A8, 0)),
   'NonQM (LP)'!U13 = C4
), NA(), "")</f>
        <v/>
      </c>
      <c r="S43" s="92" t="s">
        <v>324</v>
      </c>
      <c r="U43" s="92" t="s">
        <v>272</v>
      </c>
      <c r="V43" s="153" t="str">
        <f>IF(AND(
   ISNUMBER(MATCH('NonQM (LP)'!$U$12, $A$3:$A$8, 0)),
   ISNUMBER(MATCH('NonQM (LP)'!$U$11, $B$10:$B$11, 0)),
   ISNUMBER(MATCH('NonQM (LP)'!$U$15, $D$16, 0)),
   ISNUMBER(MATCH('NonQM (LP)'!$U$22, $J$4:$J$5, 0)),
   ISNUMBER(MATCH('NonQM (LP)'!$U$21, $G$5:$G$7, 0)),
   'NonQM (LP)'!$U$13 = $C$4
), NA(), "")</f>
        <v/>
      </c>
      <c r="W43" s="92" t="s">
        <v>325</v>
      </c>
      <c r="Y43" s="92" t="s">
        <v>272</v>
      </c>
      <c r="Z43" s="153" t="str">
        <f>IF(AND(
   ISNUMBER(MATCH('NonQM (LP)'!$U$12, $A$3:$A$8, 0)),
   ISNUMBER(MATCH('NonQM (LP)'!$U$11, $B$10:$B$11, 0)),
   ISNUMBER(MATCH('NonQM (LP)'!$U$15, $D$16, 0)),
   ISNUMBER(MATCH('NonQM (LP)'!$U$22, $J$4:$J$5, 0)),
   ISNUMBER(MATCH('NonQM (LP)'!$U$21, $G$5:$G$7, 0)),
   'NonQM (LP)'!$U$13 = $C$4
), NA(), "")</f>
        <v/>
      </c>
      <c r="AA43" s="92" t="s">
        <v>325</v>
      </c>
      <c r="AG43" s="92" t="s">
        <v>326</v>
      </c>
      <c r="AH43" s="153"/>
      <c r="AI43" s="104" t="s">
        <v>319</v>
      </c>
      <c r="AJ43" s="104"/>
      <c r="AK43" s="102"/>
      <c r="AN43" s="104"/>
      <c r="AO43" s="102"/>
    </row>
    <row r="44" spans="1:42" x14ac:dyDescent="0.25">
      <c r="A44" s="101" t="s">
        <v>327</v>
      </c>
      <c r="B44" s="577" t="str" cm="1">
        <f t="array" ref="B44">IF(AND(OR('NonQM (LP)'!U29=T12:T13,'NonQM (LP)'!U29=T7,'NonQM (LP)'!U29=T15,'NonQM (LP)'!U29=T3),OR('NonQM (LP)'!U27=H4:H10),OR('NonQM (LP)'!U23=L5:L6)),NA(),"")</f>
        <v/>
      </c>
      <c r="C44" s="92" t="s">
        <v>328</v>
      </c>
      <c r="D44" s="102"/>
      <c r="F44" s="92" t="s">
        <v>280</v>
      </c>
      <c r="G44" s="153" t="str">
        <f>IF(AND(OR('NonQM (LP)'!U24=K8),'NonQM (LP)'!U13=C3),NA(),"")</f>
        <v/>
      </c>
      <c r="H44" s="92" t="s">
        <v>329</v>
      </c>
      <c r="J44" s="102"/>
      <c r="K44" s="102"/>
      <c r="L44" s="102" t="s">
        <v>330</v>
      </c>
      <c r="M44" s="153"/>
      <c r="N44" s="92" t="s">
        <v>331</v>
      </c>
      <c r="O44" s="492"/>
      <c r="P44" s="492"/>
      <c r="Q44" s="102" t="s">
        <v>282</v>
      </c>
      <c r="R44" s="153" t="str" cm="1">
        <f t="array" ref="R44">IF(AND('NonQM (LP)'!U12=A7,OR('NonQM (LP)'!U21=G8:G13),OR('NonQM (LP)'!U11=B11),'NonQM (LP)'!U13=C4),NA(),"")</f>
        <v/>
      </c>
      <c r="S44" s="92" t="s">
        <v>332</v>
      </c>
      <c r="U44" s="92" t="s">
        <v>272</v>
      </c>
      <c r="V44" s="153" t="str">
        <f>IF(AND(
   ISNUMBER(MATCH('NonQM (LP)'!$U$12, $A$9:$A$12, 0)),
   ISNUMBER(MATCH('NonQM (LP)'!$U$11, $B$9:$B$11, 0)),
   ISNUMBER(MATCH('NonQM (LP)'!$U$15, $D$16, 0)),
   ISNUMBER(MATCH('NonQM (LP)'!$U$22, $J$4:$J$5, 0)),
   ISNUMBER(MATCH('NonQM (LP)'!$U$21, $G$5, 0)),
   'NonQM (LP)'!$U$13 = $C$4
), NA(), "")</f>
        <v/>
      </c>
      <c r="W44" s="92" t="s">
        <v>296</v>
      </c>
      <c r="Y44" s="92" t="s">
        <v>272</v>
      </c>
      <c r="Z44" s="153" t="str">
        <f>IF(AND(
   ISNUMBER(MATCH('NonQM (LP)'!$U$12, $A$9:$A$12, 0)),
   ISNUMBER(MATCH('NonQM (LP)'!$U$11, $B$9:$B$11, 0)),
   ISNUMBER(MATCH('NonQM (LP)'!$U$15, $D$16, 0)),
   ISNUMBER(MATCH('NonQM (LP)'!$U$22, $J$4:$J$5, 0)),
   ISNUMBER(MATCH('NonQM (LP)'!$U$21, $G$5, 0)),
   'NonQM (LP)'!$U$13 = $C$4
), NA(), "")</f>
        <v/>
      </c>
      <c r="AA44" s="92" t="s">
        <v>296</v>
      </c>
      <c r="AG44" s="92" t="s">
        <v>333</v>
      </c>
      <c r="AH44" s="153" t="str" cm="1">
        <f t="array" ref="AH44">IF(AND(OR('NonQM (LP)'!U23=L5:L6),OR('NonQM (LP)'!U27=H3,'NonQM (LP)'!U27=H8:H9),OR('NonQM (LP)'!U29='Feed(WS)'!T6)),NA(),"")</f>
        <v/>
      </c>
      <c r="AI44" s="104" t="s">
        <v>334</v>
      </c>
      <c r="AJ44" s="104"/>
      <c r="AK44" s="102"/>
      <c r="AN44" s="104"/>
      <c r="AO44" s="104"/>
      <c r="AP44" s="104"/>
    </row>
    <row r="45" spans="1:42" x14ac:dyDescent="0.25">
      <c r="A45" s="124">
        <v>1099</v>
      </c>
      <c r="B45" s="577" t="str" cm="1">
        <f t="array" ref="B45">IF(AND('NonQM (LP)'!U18=E5,OR('NonQM (LP)'!U21=G11:G13)),NA(),"")</f>
        <v/>
      </c>
      <c r="C45" s="92" t="s">
        <v>335</v>
      </c>
      <c r="D45" s="102"/>
      <c r="F45" s="92" t="s">
        <v>280</v>
      </c>
      <c r="G45" s="153" t="str" cm="1">
        <f t="array" ref="G45">IF(AND(OR('NonQM (LP)'!U24=K4),'NonQM (LP)'!U13=C3,OR('NonQM (LP)'!U11=B10:B11)),NA(),"")</f>
        <v/>
      </c>
      <c r="H45" s="92" t="s">
        <v>336</v>
      </c>
      <c r="J45" s="102"/>
      <c r="K45" s="102"/>
      <c r="L45" s="102" t="s">
        <v>176</v>
      </c>
      <c r="M45" s="153"/>
      <c r="N45" s="92" t="s">
        <v>337</v>
      </c>
      <c r="O45" s="492"/>
      <c r="P45" s="492"/>
      <c r="Q45" s="102" t="s">
        <v>282</v>
      </c>
      <c r="R45" s="153" t="str" cm="1">
        <f t="array" ref="R45">IF(AND('NonQM (LP)'!U12=A7,OR('NonQM (LP)'!U21=G10:G13),OR('NonQM (LP)'!U11=B9:B11),'NonQM (LP)'!U13=C4),NA(),"")</f>
        <v/>
      </c>
      <c r="S45" s="92" t="s">
        <v>338</v>
      </c>
      <c r="U45" s="92" t="s">
        <v>272</v>
      </c>
      <c r="V45" s="153" t="str">
        <f>IF(AND(
   ISNUMBER(MATCH('NonQM (LP)'!$U$12, $A$9:$A$12, 0)),
   ISNUMBER(MATCH('NonQM (LP)'!$U$11, $B$8:$B$11, 0)),
   ISNUMBER(MATCH('NonQM (LP)'!$U$15, $D$16, 0)),
   ISNUMBER(MATCH('NonQM (LP)'!$U$22, $J$6:$J$7, 0)),
   ISNUMBER(MATCH('NonQM (LP)'!$U$21, $G$5, 0)),
   'NonQM (LP)'!$U$13 = $C$4
), NA(), "")</f>
        <v/>
      </c>
      <c r="W45" s="92" t="s">
        <v>339</v>
      </c>
      <c r="Y45" s="92" t="s">
        <v>272</v>
      </c>
      <c r="Z45" s="153" t="str">
        <f>IF(AND(
   ISNUMBER(MATCH('NonQM (LP)'!$U$12, $A$9:$A$12, 0)),
   ISNUMBER(MATCH('NonQM (LP)'!$U$11, $B$8:$B$11, 0)),
   ISNUMBER(MATCH('NonQM (LP)'!$U$15, $D$16, 0)),
   ISNUMBER(MATCH('NonQM (LP)'!$U$22, $J$6:$J$7, 0)),
   ISNUMBER(MATCH('NonQM (LP)'!$U$21, $G$5, 0)),
   'NonQM (LP)'!$U$13 = $C$4
), NA(), "")</f>
        <v/>
      </c>
      <c r="AA45" s="92" t="s">
        <v>339</v>
      </c>
      <c r="AG45" s="92" t="s">
        <v>340</v>
      </c>
      <c r="AH45" s="153"/>
      <c r="AI45" s="104" t="s">
        <v>334</v>
      </c>
      <c r="AJ45" s="104"/>
      <c r="AK45" s="102"/>
      <c r="AN45" s="104"/>
      <c r="AO45" s="104"/>
      <c r="AP45" s="104"/>
    </row>
    <row r="46" spans="1:42" x14ac:dyDescent="0.25">
      <c r="A46" s="113" t="s">
        <v>320</v>
      </c>
      <c r="B46" s="576" t="str" cm="1">
        <f t="array" ref="B46">IF(AND('NonQM (LP)'!U19='Feed(WS)'!P7,OR('NonQM (LP)'!U21='Feed(WS)'!G9:G11)),NA(),"")</f>
        <v/>
      </c>
      <c r="C46" s="102" t="s">
        <v>341</v>
      </c>
      <c r="D46" s="102"/>
      <c r="F46" s="92" t="s">
        <v>280</v>
      </c>
      <c r="G46" s="153" t="str" cm="1">
        <f t="array" ref="G46">IF(AND(OR('NonQM (LP)'!U24=K5),'NonQM (LP)'!U13=C3,OR('NonQM (LP)'!U11=B9:B11)),NA(),"")</f>
        <v/>
      </c>
      <c r="H46" s="92" t="s">
        <v>342</v>
      </c>
      <c r="I46"/>
      <c r="J46"/>
      <c r="K46" s="102"/>
      <c r="L46" s="92" t="s">
        <v>343</v>
      </c>
      <c r="M46" s="153"/>
      <c r="N46" s="92" t="s">
        <v>344</v>
      </c>
      <c r="O46" s="492"/>
      <c r="P46" s="492"/>
      <c r="Q46" s="102" t="s">
        <v>282</v>
      </c>
      <c r="R46" s="153" t="str" cm="1">
        <f t="array" ref="R46">IF(AND('NonQM (LP)'!U12=A7,OR('NonQM (LP)'!U21=G12:G13),OR('NonQM (LP)'!U11=B4:B11),'NonQM (LP)'!U13=C4),NA(),"")</f>
        <v/>
      </c>
      <c r="S46" s="92" t="s">
        <v>345</v>
      </c>
      <c r="U46" s="92" t="s">
        <v>272</v>
      </c>
      <c r="V46" s="154" t="str">
        <f>IF(AND(
   ISNUMBER(MATCH('NonQM (LP)'!$U$12, $A$11:$A$12, 0)),
   ISNUMBER(MATCH('NonQM (LP)'!$U$11, $B$7:$B$11, 0)),
   ISNUMBER(MATCH('NonQM (LP)'!$U$15, $D$16, 0)),
   ISNUMBER(MATCH('NonQM (LP)'!$U$22, $J$6:$J$7, 0)),
   ISNUMBER(MATCH('NonQM (LP)'!$U$21, $G$7, 0)),
   'NonQM (LP)'!$U$13 = $C$4
), NA(), "")</f>
        <v/>
      </c>
      <c r="W46" s="92" t="s">
        <v>346</v>
      </c>
      <c r="Y46" s="92" t="s">
        <v>272</v>
      </c>
      <c r="Z46" s="154" t="str">
        <f>IF(AND(
   ISNUMBER(MATCH('NonQM (LP)'!$U$12, $A$11:$A$12, 0)),
   ISNUMBER(MATCH('NonQM (LP)'!$U$11, $B$7:$B$11, 0)),
   ISNUMBER(MATCH('NonQM (LP)'!$U$15, $D$16, 0)),
   ISNUMBER(MATCH('NonQM (LP)'!$U$22, $J$6:$J$7, 0)),
   ISNUMBER(MATCH('NonQM (LP)'!$U$21, $G$7, 0)),
   'NonQM (LP)'!$U$13 = $C$4
), NA(), "")</f>
        <v/>
      </c>
      <c r="AA46" s="92" t="s">
        <v>346</v>
      </c>
      <c r="AG46" s="102"/>
      <c r="AJ46" s="104"/>
      <c r="AK46" s="104"/>
      <c r="AL46" s="104"/>
      <c r="AM46" s="104"/>
      <c r="AN46" s="104"/>
      <c r="AO46" s="104"/>
      <c r="AP46" s="104"/>
    </row>
    <row r="47" spans="1:42" x14ac:dyDescent="0.25">
      <c r="A47" s="101" t="s">
        <v>347</v>
      </c>
      <c r="B47" s="577" t="str">
        <f>IF('NonQM (LP)'!U21=G13,NA(),"")</f>
        <v/>
      </c>
      <c r="D47" s="102"/>
      <c r="F47" s="92" t="s">
        <v>280</v>
      </c>
      <c r="G47" s="153" t="str" cm="1">
        <f t="array" ref="G47">IF(AND(OR('NonQM (LP)'!U24=K7),OR('NonQM (LP)'!U11=B9:B11)),NA(),"")</f>
        <v/>
      </c>
      <c r="H47" s="92" t="s">
        <v>348</v>
      </c>
      <c r="I47" s="102"/>
      <c r="J47" s="102"/>
      <c r="K47" s="102"/>
      <c r="L47" s="92" t="s">
        <v>349</v>
      </c>
      <c r="M47" s="153"/>
      <c r="N47" s="92" t="s">
        <v>350</v>
      </c>
      <c r="O47" s="492"/>
      <c r="P47" s="492"/>
      <c r="Q47" s="102" t="s">
        <v>282</v>
      </c>
      <c r="R47" s="153" t="str" cm="1">
        <f t="array" ref="R47">IF(AND('NonQM (LP)'!U12=A6,OR('NonQM (LP)'!U21=G10:G13),OR('NonQM (LP)'!U11=B10:B11),'NonQM (LP)'!U13=C4),NA(),"")</f>
        <v/>
      </c>
      <c r="S47" s="92" t="s">
        <v>351</v>
      </c>
      <c r="U47" s="92" t="s">
        <v>272</v>
      </c>
      <c r="V47" s="153" t="str">
        <f>IF(AND(
   ISNUMBER(MATCH('NonQM (LP)'!$U$12, $A$9:$A$12, 0)),
   ISNUMBER(MATCH('NonQM (LP)'!$U$11, $B$8:$B$11, 0)),
   ISNUMBER(MATCH('NonQM (LP)'!$U$15, $D$18, 0)),
   ISNUMBER(MATCH('NonQM (LP)'!$U$22, $J$3:$J$5, 0)),
   ISNUMBER(MATCH('NonQM (LP)'!$U$21, $G$5, 0)),
   'NonQM (LP)'!$U$13 = $C$4
), NA(), "")</f>
        <v/>
      </c>
      <c r="W47" s="92" t="s">
        <v>352</v>
      </c>
      <c r="Y47" s="92" t="s">
        <v>272</v>
      </c>
      <c r="Z47" s="153" t="str">
        <f>IF(AND(
   ISNUMBER(MATCH('NonQM (LP)'!$U$12, $A$9:$A$12, 0)),
   ISNUMBER(MATCH('NonQM (LP)'!$U$11, $B$8:$B$11, 0)),
   ISNUMBER(MATCH('NonQM (LP)'!$U$15, $D$18, 0)),
   ISNUMBER(MATCH('NonQM (LP)'!$U$22, $J$3:$J$5, 0)),
   ISNUMBER(MATCH('NonQM (LP)'!$U$21, $G$5, 0)),
   'NonQM (LP)'!$U$13 = $C$4
), NA(), "")</f>
        <v/>
      </c>
      <c r="AA47" s="92" t="s">
        <v>352</v>
      </c>
      <c r="AG47" s="92" t="s">
        <v>353</v>
      </c>
      <c r="AH47" s="342"/>
      <c r="AI47" s="104"/>
      <c r="AJ47" s="104"/>
      <c r="AK47" s="104"/>
      <c r="AL47"/>
      <c r="AM47"/>
      <c r="AN47"/>
      <c r="AO47" s="104" t="s">
        <v>227</v>
      </c>
      <c r="AP47" s="104"/>
    </row>
    <row r="48" spans="1:42" x14ac:dyDescent="0.25">
      <c r="A48" s="113" t="s">
        <v>354</v>
      </c>
      <c r="B48" s="576" t="str" cm="1">
        <f t="array" ref="B48">IF(AND('NonQM (LP)'!U11='Feed(WS)'!B11,'NonQM (LP)'!U13='Feed(WS)'!C4,OR('NonQM (LP)'!U23='Feed(WS)'!L4:L6)),NA(),"")</f>
        <v/>
      </c>
      <c r="C48" s="102" t="s">
        <v>355</v>
      </c>
      <c r="D48" s="102"/>
      <c r="F48" s="92" t="s">
        <v>52</v>
      </c>
      <c r="G48" s="153" t="str" cm="1">
        <f t="array" ref="G48">IF(AND('NonQM (LP)'!U13=C3,OR('NonQM (LP)'!U25=M8:M13,OR('NonQM (LP)'!U25=M5:M6))),NA(),"")</f>
        <v/>
      </c>
      <c r="H48" s="92" t="s">
        <v>356</v>
      </c>
      <c r="I48" s="102"/>
      <c r="J48" s="102"/>
      <c r="K48" s="102"/>
      <c r="L48" s="92" t="s">
        <v>357</v>
      </c>
      <c r="M48" s="153"/>
      <c r="N48" s="92" t="s">
        <v>358</v>
      </c>
      <c r="O48" s="492"/>
      <c r="P48" s="492"/>
      <c r="Q48" s="102" t="s">
        <v>282</v>
      </c>
      <c r="R48" s="153" t="str" cm="1">
        <f t="array" ref="R48">IF(AND('NonQM (LP)'!U12=A6,OR('NonQM (LP)'!U21=G11:G13),OR('NonQM (LP)'!U11=B8:B11),'NonQM (LP)'!U13=C4),NA(),"")</f>
        <v/>
      </c>
      <c r="S48" s="92" t="s">
        <v>359</v>
      </c>
      <c r="U48" s="92" t="s">
        <v>272</v>
      </c>
      <c r="V48" s="154" t="str">
        <f>IF(AND(
   ISNUMBER(MATCH('NonQM (LP)'!$U$12, $A$9:$A$12, 0)),
   ISNUMBER(MATCH('NonQM (LP)'!$U$11, $B$7:$B$11, 0)),
   ISNUMBER(MATCH('NonQM (LP)'!$U$15, $D$18, 0)),
   ISNUMBER(MATCH('NonQM (LP)'!$U$22, $J$6:$J$7, 0)),
   ISNUMBER(MATCH('NonQM (LP)'!$U$21, $G$5, 0)),
   'NonQM (LP)'!$U$13 = $C$4
), NA(), "")</f>
        <v/>
      </c>
      <c r="W48" s="92" t="s">
        <v>360</v>
      </c>
      <c r="Y48" s="92" t="s">
        <v>272</v>
      </c>
      <c r="Z48" s="154" t="str">
        <f>IF(AND(
   ISNUMBER(MATCH('NonQM (LP)'!$U$12, $A$9:$A$12, 0)),
   ISNUMBER(MATCH('NonQM (LP)'!$U$11, $B$7:$B$11, 0)),
   ISNUMBER(MATCH('NonQM (LP)'!$U$15, $D$18, 0)),
   ISNUMBER(MATCH('NonQM (LP)'!$U$22, $J$6:$J$7, 0)),
   ISNUMBER(MATCH('NonQM (LP)'!$U$21, $G$5, 0)),
   'NonQM (LP)'!$U$13 = $C$4
), NA(), "")</f>
        <v/>
      </c>
      <c r="AA48" s="92" t="s">
        <v>360</v>
      </c>
      <c r="AG48" t="s">
        <v>361</v>
      </c>
      <c r="AH48" s="342"/>
      <c r="AI48" t="s">
        <v>362</v>
      </c>
      <c r="AJ48"/>
      <c r="AK48"/>
      <c r="AL48"/>
      <c r="AM48"/>
      <c r="AN48"/>
      <c r="AO48" s="104" t="s">
        <v>227</v>
      </c>
      <c r="AP48" s="104"/>
    </row>
    <row r="49" spans="1:42" x14ac:dyDescent="0.25">
      <c r="A49" s="113" t="s">
        <v>363</v>
      </c>
      <c r="B49" s="614" t="s">
        <v>364</v>
      </c>
      <c r="C49" s="102" t="s">
        <v>365</v>
      </c>
      <c r="D49" s="102"/>
      <c r="F49" s="92" t="s">
        <v>366</v>
      </c>
      <c r="G49" s="153" t="str" cm="1">
        <f t="array" ref="G49">IF(AND('NonQM (LP)'!U13=C3,OR('NonQM (LP)'!U11=B9:B11),OR('NonQM (LP)'!U22=J6:J7)),NA(),"")</f>
        <v/>
      </c>
      <c r="H49" s="92" t="s">
        <v>367</v>
      </c>
      <c r="I49" s="102"/>
      <c r="J49" s="102"/>
      <c r="L49" s="92" t="s">
        <v>368</v>
      </c>
      <c r="M49" s="153"/>
      <c r="N49" s="92" t="s">
        <v>369</v>
      </c>
      <c r="O49" s="492"/>
      <c r="P49" s="492"/>
      <c r="Q49" s="102" t="s">
        <v>282</v>
      </c>
      <c r="R49" s="153" t="str" cm="1">
        <f t="array" ref="R49">IF(AND('NonQM (LP)'!U12=A6,OR('NonQM (LP)'!U21=G12:G13),OR('NonQM (LP)'!U11=B6:B11),'NonQM (LP)'!U13=C4),NA(),"")</f>
        <v/>
      </c>
      <c r="S49" s="92" t="s">
        <v>370</v>
      </c>
      <c r="U49" s="92" t="s">
        <v>272</v>
      </c>
      <c r="V49" s="154" t="str">
        <f>IF(AND(
   ISNUMBER(MATCH('NonQM (LP)'!$U$12, $A$3:$A$8, 0)),
   ISNUMBER(MATCH('NonQM (LP)'!$U$11, $B$9:$B$11, 0)),
   ISNUMBER(MATCH('NonQM (LP)'!$U$15, $D$16, 0)),
   ISNUMBER(MATCH('NonQM (LP)'!$U$22, $J$6:$J$7, 0)),
   ISNUMBER(MATCH('NonQM (LP)'!$U$21, $G$5:$G$7, 0)),
   'NonQM (LP)'!$U$13 = $C$4
), NA(), "")</f>
        <v/>
      </c>
      <c r="W49" s="92" t="s">
        <v>371</v>
      </c>
      <c r="Y49" s="92" t="s">
        <v>272</v>
      </c>
      <c r="Z49" s="154" t="str">
        <f>IF(AND(
   ISNUMBER(MATCH('NonQM (LP)'!$U$12, $A$3:$A$8, 0)),
   ISNUMBER(MATCH('NonQM (LP)'!$U$11, $B$8:$B$11, 0)),
   ISNUMBER(MATCH('NonQM (LP)'!$U$15, $D$18, 0)),
   ISNUMBER(MATCH('NonQM (LP)'!$U$22, $J$6:$J$7, 0)),
   ISNUMBER(MATCH('NonQM (LP)'!$U$21, $G$5:$G$7, 0)),
   'NonQM (LP)'!$U$13 = $C$4
), NA(), "")</f>
        <v/>
      </c>
      <c r="AA49" s="92" t="s">
        <v>372</v>
      </c>
      <c r="AG49" s="92" t="s">
        <v>373</v>
      </c>
      <c r="AH49" s="342"/>
      <c r="AI49" t="s">
        <v>374</v>
      </c>
      <c r="AJ49"/>
      <c r="AK49"/>
      <c r="AL49"/>
      <c r="AM49"/>
      <c r="AN49"/>
      <c r="AO49" s="104" t="s">
        <v>227</v>
      </c>
      <c r="AP49" s="104"/>
    </row>
    <row r="50" spans="1:42" x14ac:dyDescent="0.25">
      <c r="A50" s="113" t="s">
        <v>375</v>
      </c>
      <c r="B50" s="576" t="str" cm="1">
        <f t="array" ref="B50">IF(AND(OR('NonQM (LP)'!U11='Feed(WS)'!B10:B11),OR('NonQM (LP)'!U23='Feed(WS)'!L5:L6),OR('NonQM (LP)'!U27='Feed(WS)'!H2:H4)),NA(),"")</f>
        <v/>
      </c>
      <c r="C50" s="102" t="s">
        <v>376</v>
      </c>
      <c r="D50" s="102"/>
      <c r="E50" s="102"/>
      <c r="F50" s="92" t="s">
        <v>377</v>
      </c>
      <c r="G50" s="153" t="str" cm="1">
        <f t="array" ref="G50">IF(AND('NonQM (LP)'!U13=C3,OR('NonQM (LP)'!U21=G11:G13,'NonQM (LP)'!U21=G3)),NA(),"")</f>
        <v/>
      </c>
      <c r="H50" s="92" t="s">
        <v>378</v>
      </c>
      <c r="I50" s="102"/>
      <c r="J50" s="102"/>
      <c r="L50" s="92" t="s">
        <v>379</v>
      </c>
      <c r="M50" s="153"/>
      <c r="N50" s="92" t="s">
        <v>380</v>
      </c>
      <c r="O50" s="492"/>
      <c r="P50" s="492"/>
      <c r="Q50" s="102" t="s">
        <v>282</v>
      </c>
      <c r="R50" s="153" t="str">
        <f>IF(AND(
   ISNUMBER(MATCH('NonQM (LP)'!U11, B7:B11, 0)),
   ISNUMBER(MATCH('NonQM (LP)'!U21, G12:G13, 0)),
   ISNUMBER(MATCH('NonQM (LP)'!U12, A3:A6, 0)),
   'NonQM (LP)'!U13 = C4
), NA(), "")</f>
        <v/>
      </c>
      <c r="S50" s="92" t="s">
        <v>381</v>
      </c>
      <c r="U50" s="92" t="s">
        <v>272</v>
      </c>
      <c r="V50" s="154" t="str">
        <f>IF(AND(
   ISNUMBER(MATCH('NonQM (LP)'!$U$12, $A$3:$A$7, 0)),
   ISNUMBER(MATCH('NonQM (LP)'!$U$11, $B$9:$B$11, 0)),
   ISNUMBER(MATCH('NonQM (LP)'!$U$15, $D$16, 0)),
   ISNUMBER(MATCH('NonQM (LP)'!$U$22, $J$6:$J$7, 0)),
   ISNUMBER(MATCH('NonQM (LP)'!$U$21, $G$7, 0)),
   'NonQM (LP)'!$U$13 = $C$4
), NA(), "")</f>
        <v/>
      </c>
      <c r="W50" s="92" t="s">
        <v>382</v>
      </c>
      <c r="Y50" s="92" t="s">
        <v>272</v>
      </c>
      <c r="Z50" s="154" t="str">
        <f>IF(AND(
   ISNUMBER(MATCH('NonQM (LP)'!$U$12, $A$3:$A$7, 0)),
   ISNUMBER(MATCH('NonQM (LP)'!$U$11, $B$8:$B$11, 0)),
   ISNUMBER(MATCH('NonQM (LP)'!$U$15, $D$18, 0)),
   ISNUMBER(MATCH('NonQM (LP)'!$U$22, $J$6:$J$7, 0)),
   ISNUMBER(MATCH('NonQM (LP)'!$U$21, $G$7, 0)),
   'NonQM (LP)'!$U$13 = $C$4
), NA(), "")</f>
        <v/>
      </c>
      <c r="AA50" s="92" t="s">
        <v>383</v>
      </c>
      <c r="AG50" s="92" t="s">
        <v>384</v>
      </c>
      <c r="AH50" s="153"/>
      <c r="AI50" s="92" t="s">
        <v>385</v>
      </c>
      <c r="AJ50"/>
      <c r="AK50"/>
      <c r="AL50"/>
      <c r="AM50"/>
      <c r="AN50"/>
      <c r="AO50" s="104" t="s">
        <v>227</v>
      </c>
      <c r="AP50" s="104"/>
    </row>
    <row r="51" spans="1:42" x14ac:dyDescent="0.25">
      <c r="A51" s="99" t="s">
        <v>386</v>
      </c>
      <c r="B51" s="614" t="s">
        <v>364</v>
      </c>
      <c r="C51" s="125" t="s">
        <v>387</v>
      </c>
      <c r="D51" s="102" t="str" cm="1">
        <f t="array" ref="D51">IF(AND(OR('NonQM (LP)'!U12=A10:A12),'NonQM (LP)'!U13=C4),NA(),"")</f>
        <v/>
      </c>
      <c r="E51" s="102"/>
      <c r="F51" s="92" t="s">
        <v>388</v>
      </c>
      <c r="G51" s="153" t="str" cm="1">
        <f t="array" ref="G51">IF(AND(OR('NonQM (LP)'!U12=A9:A12),'NonQM (LP)'!U13=C3),NA(),"")</f>
        <v/>
      </c>
      <c r="H51" s="92" t="s">
        <v>389</v>
      </c>
      <c r="I51" s="102"/>
      <c r="J51" s="102"/>
      <c r="L51" t="s">
        <v>195</v>
      </c>
      <c r="M51" s="153"/>
      <c r="N51" s="92" t="s">
        <v>390</v>
      </c>
      <c r="O51" s="492"/>
      <c r="P51" s="492"/>
      <c r="Q51" s="102" t="s">
        <v>282</v>
      </c>
      <c r="R51" s="153" t="str">
        <f>IF(AND(
   ISNUMBER(MATCH('NonQM (LP)'!U12, A11:A12, 0)),
   ISNUMBER(MATCH('NonQM (LP)'!U11, B9:B11, 0)),
   ISNUMBER(MATCH('NonQM (LP)'!U22, J3:J4, 0)),
   ISNUMBER(MATCH('NonQM (LP)'!U21, G7, 0)),
   'NonQM (LP)'!U13 = C4
), NA(), "")</f>
        <v/>
      </c>
      <c r="S51" s="92" t="s">
        <v>391</v>
      </c>
      <c r="U51" s="92" t="s">
        <v>272</v>
      </c>
      <c r="V51" s="154" t="str">
        <f>IF(AND(
   ISNUMBER(MATCH('NonQM (LP)'!$U$12, $A$9:$A$10, 0)),
   ISNUMBER(MATCH('NonQM (LP)'!$U$11, $B$8:$B$11, 0)),
   ISNUMBER(MATCH('NonQM (LP)'!$U$15, $D$16, 0)),
   ISNUMBER(MATCH('NonQM (LP)'!$U$22, $J$6:$J$7, 0)),
   ISNUMBER(MATCH('NonQM (LP)'!$U$21, $G$7, 0)),
   'NonQM (LP)'!$U$13 = $C$4
), NA(), "")</f>
        <v/>
      </c>
      <c r="W51" s="92" t="s">
        <v>392</v>
      </c>
      <c r="Y51" s="92" t="s">
        <v>272</v>
      </c>
      <c r="Z51" s="154" t="str">
        <f>IF(AND(
   ISNUMBER(MATCH('NonQM (LP)'!$U$12, $A$9:$A$10, 0)),
   ISNUMBER(MATCH('NonQM (LP)'!$U$11, $B$7:$B$11, 0)),
   ISNUMBER(MATCH('NonQM (LP)'!$U$15, $D$18, 0)),
   ISNUMBER(MATCH('NonQM (LP)'!$U$22, $J$6:$J$7, 0)),
   ISNUMBER(MATCH('NonQM (LP)'!$U$21, $G$7, 0)),
   'NonQM (LP)'!$U$13 = $C$4
), NA(), "")</f>
        <v/>
      </c>
      <c r="AA51" s="92" t="s">
        <v>393</v>
      </c>
      <c r="AG51" s="92" t="s">
        <v>394</v>
      </c>
      <c r="AH51" s="342"/>
      <c r="AI51" t="s">
        <v>395</v>
      </c>
      <c r="AJ51"/>
      <c r="AK51"/>
      <c r="AL51"/>
      <c r="AM51"/>
      <c r="AN51"/>
      <c r="AO51" s="104" t="s">
        <v>227</v>
      </c>
      <c r="AP51" s="104"/>
    </row>
    <row r="52" spans="1:42" x14ac:dyDescent="0.25">
      <c r="A52" s="113" t="s">
        <v>396</v>
      </c>
      <c r="B52" s="576" t="str" cm="1">
        <f t="array" ref="B52">IF(AND('NonQM (LP)'!U11=B11,OR('NonQM (LP)'!U21=G8:G13)),NA(),"")</f>
        <v/>
      </c>
      <c r="C52" s="125" t="s">
        <v>397</v>
      </c>
      <c r="D52" s="102"/>
      <c r="E52" s="102"/>
      <c r="F52" s="92" t="s">
        <v>398</v>
      </c>
      <c r="G52" s="153" t="str" cm="1">
        <f t="array" ref="G52">IF(AND('NonQM (LP)'!U12=A8,OR('NonQM (LP)'!U21=G4:G13),OR('NonQM (LP)'!U11=B9:B11),'NonQM (LP)'!U13=C3),NA(),"")</f>
        <v/>
      </c>
      <c r="H52" s="92" t="s">
        <v>399</v>
      </c>
      <c r="I52" s="102"/>
      <c r="J52" s="102"/>
      <c r="L52" t="s">
        <v>400</v>
      </c>
      <c r="M52" s="153"/>
      <c r="N52" s="92" t="s">
        <v>401</v>
      </c>
      <c r="O52" s="492"/>
      <c r="P52" s="492"/>
      <c r="Q52" s="102" t="s">
        <v>310</v>
      </c>
      <c r="R52" s="153" t="str">
        <f>IF(AND(
   ISNUMBER(MATCH('NonQM (LP)'!U12, A11:A12, 0)),
   ISNUMBER(MATCH('NonQM (LP)'!U11, B3:B11, 0)),
   ISNUMBER(MATCH('NonQM (LP)'!U22, J3:J8, 0)),
   ISNUMBER(MATCH('NonQM (LP)'!U21, G8:G13, 0)),
   'NonQM (LP)'!U13 = C4
), NA(), "")</f>
        <v/>
      </c>
      <c r="S52" s="92" t="s">
        <v>402</v>
      </c>
      <c r="U52" s="92" t="s">
        <v>272</v>
      </c>
      <c r="V52" s="154" t="str">
        <f>IF(AND(
   ISNUMBER(MATCH('NonQM (LP)'!$U$12, $A$11:$A$12, 0)),
   ISNUMBER(MATCH('NonQM (LP)'!$U$11, $B$8:$B$11, 0)),
   ISNUMBER(MATCH('NonQM (LP)'!$U$15, $D$16, 0)),
   ISNUMBER(MATCH('NonQM (LP)'!$U$22, $J$3:$J$5, 0)),
   ISNUMBER(MATCH('NonQM (LP)'!$U$21, $G$7, 0)),
   'NonQM (LP)'!$U$13 = $C$4
), NA(), "")</f>
        <v/>
      </c>
      <c r="W52" s="92" t="s">
        <v>403</v>
      </c>
      <c r="Y52" s="92" t="s">
        <v>272</v>
      </c>
      <c r="Z52" s="154" t="str">
        <f>IF(AND(
   ISNUMBER(MATCH('NonQM (LP)'!$U$12, $A$11:$A$12, 0)),
   ISNUMBER(MATCH('NonQM (LP)'!$U$11, $B$7:$B$11, 0)),
   ISNUMBER(MATCH('NonQM (LP)'!$U$15, $D$18, 0)),
   ISNUMBER(MATCH('NonQM (LP)'!$U$22, $J$3:$J$5, 0)),
   ISNUMBER(MATCH('NonQM (LP)'!$U$21, $G$7, 0)),
   'NonQM (LP)'!$U$13 = $C$4
), NA(), "")</f>
        <v/>
      </c>
      <c r="AA52" s="92" t="s">
        <v>404</v>
      </c>
      <c r="AG52" s="92" t="s">
        <v>405</v>
      </c>
      <c r="AH52" s="342"/>
      <c r="AI52" t="s">
        <v>406</v>
      </c>
      <c r="AJ52"/>
      <c r="AK52"/>
      <c r="AL52"/>
      <c r="AM52"/>
      <c r="AN52"/>
      <c r="AO52" s="104" t="s">
        <v>227</v>
      </c>
      <c r="AP52" s="104"/>
    </row>
    <row r="53" spans="1:42" x14ac:dyDescent="0.25">
      <c r="A53" s="126" t="s">
        <v>407</v>
      </c>
      <c r="B53" s="576" t="str" cm="1">
        <f t="array" ref="B53">IF(AND('NonQM (LP)'!U11=B10,OR('NonQM (LP)'!U21=G9:G13)),NA(),"")</f>
        <v/>
      </c>
      <c r="C53" s="125" t="s">
        <v>408</v>
      </c>
      <c r="D53" s="102"/>
      <c r="F53" s="92" t="s">
        <v>398</v>
      </c>
      <c r="G53" s="153" t="str" cm="1">
        <f t="array" ref="G53">IF(AND('NonQM (LP)'!U12=A8,OR('NonQM (LP)'!U21=G7:G13),OR('NonQM (LP)'!U11=B9:B11),'NonQM (LP)'!U13=C3),NA(),"")</f>
        <v/>
      </c>
      <c r="H53" s="92" t="s">
        <v>409</v>
      </c>
      <c r="K53"/>
      <c r="L53" t="s">
        <v>410</v>
      </c>
      <c r="M53" s="342"/>
      <c r="N53" t="s">
        <v>411</v>
      </c>
      <c r="Q53" s="102" t="s">
        <v>310</v>
      </c>
      <c r="R53" s="153" t="str">
        <f>IF(AND(
   ISNUMBER(MATCH('NonQM (LP)'!U12, A10, 0)),
   ISNUMBER(MATCH('NonQM (LP)'!U11, B3:B11, 0)),
   ISNUMBER(MATCH('NonQM (LP)'!U22, J3:J8, 0)),
   ISNUMBER(MATCH('NonQM (LP)'!U21, G9:G13, 0)),
   'NonQM (LP)'!U13 = C4
), NA(), "")</f>
        <v/>
      </c>
      <c r="S53" s="92" t="s">
        <v>412</v>
      </c>
      <c r="U53" s="92" t="s">
        <v>272</v>
      </c>
      <c r="V53" s="154" t="str">
        <f>IF(AND(
   ISNUMBER(MATCH('NonQM (LP)'!$U$12, $A$3:$A$5, 0)),
   ISNUMBER(MATCH('NonQM (LP)'!$U$11, $B$10:$B$11, 0)),
   ISNUMBER(MATCH('NonQM (LP)'!$U$15, $D$16, 0)),
   ISNUMBER(MATCH('NonQM (LP)'!$U$22, $J$3:$J$5, 0)),
   ISNUMBER(MATCH('NonQM (LP)'!$U$21, $G$8, 0)),
   'NonQM (LP)'!$U$13 = $C$4
), NA(), "")</f>
        <v/>
      </c>
      <c r="W53" s="92" t="s">
        <v>413</v>
      </c>
      <c r="Y53" s="92" t="s">
        <v>272</v>
      </c>
      <c r="Z53" s="154" t="str">
        <f>IF(AND(
   ISNUMBER(MATCH('NonQM (LP)'!$U$12, $A$3:$A$5, 0)),
   ISNUMBER(MATCH('NonQM (LP)'!$U$11, $B$9:$B$11, 0)),
   ISNUMBER(MATCH('NonQM (LP)'!$U$15, $D$18, 0)),
   ISNUMBER(MATCH('NonQM (LP)'!$U$22, $J$3:$J$5, 0)),
   ISNUMBER(MATCH('NonQM (LP)'!$U$21, $G$8, 0)),
   'NonQM (LP)'!$U$13 = $C$4
), NA(), "")</f>
        <v/>
      </c>
      <c r="AA53" s="92" t="s">
        <v>414</v>
      </c>
      <c r="AG53" s="92" t="s">
        <v>415</v>
      </c>
      <c r="AH53" s="342"/>
      <c r="AI53" t="s">
        <v>416</v>
      </c>
      <c r="AJ53"/>
      <c r="AK53"/>
      <c r="AL53"/>
      <c r="AM53"/>
      <c r="AN53"/>
      <c r="AO53" s="104" t="s">
        <v>227</v>
      </c>
      <c r="AP53" s="104"/>
    </row>
    <row r="54" spans="1:42" x14ac:dyDescent="0.25">
      <c r="A54" s="126" t="s">
        <v>417</v>
      </c>
      <c r="B54" s="614" t="str" cm="1">
        <f t="array" ref="B54">IF(AND(OR('NonQM (LP)'!U11=B8:B11),OR('NonQM (LP)'!U21=G11:G13)),NA(),"")</f>
        <v/>
      </c>
      <c r="C54" s="125" t="s">
        <v>418</v>
      </c>
      <c r="D54" s="102"/>
      <c r="F54" s="92" t="s">
        <v>419</v>
      </c>
      <c r="G54" s="153" t="str" cm="1">
        <f t="array" ref="G54">IF(AND('NonQM (LP)'!U12=A8,OR('NonQM (LP)'!U21=G9:G13),OR('NonQM (LP)'!U11=B7:B11),'NonQM (LP)'!U13=C3),NA(),"")</f>
        <v/>
      </c>
      <c r="H54" s="92" t="s">
        <v>420</v>
      </c>
      <c r="K54"/>
      <c r="L54" t="s">
        <v>421</v>
      </c>
      <c r="M54" s="342"/>
      <c r="N54" t="s">
        <v>422</v>
      </c>
      <c r="Q54" s="102" t="s">
        <v>310</v>
      </c>
      <c r="R54" s="153" t="str">
        <f>IF(AND(
   ISNUMBER(MATCH('NonQM (LP)'!U12, A8:A9, 0)),
   ISNUMBER(MATCH('NonQM (LP)'!U11, B3:B11, 0)),
   ISNUMBER(MATCH('NonQM (LP)'!U22, J3:J8, 0)),
   ISNUMBER(MATCH('NonQM (LP)'!U21, G12:G13, 0)),
   'NonQM (LP)'!U13 = C4
), NA(), "")</f>
        <v/>
      </c>
      <c r="S54" s="92" t="s">
        <v>423</v>
      </c>
      <c r="U54" s="92" t="s">
        <v>272</v>
      </c>
      <c r="V54" s="154" t="str">
        <f>IF(AND(
   ISNUMBER(MATCH('NonQM (LP)'!$U$12, $A$3:$A$5, 0)),
   ISNUMBER(MATCH('NonQM (LP)'!$U$11, $B$9:$B$11, 0)),
   ISNUMBER(MATCH('NonQM (LP)'!$U$15, $D$16, 0)),
   ISNUMBER(MATCH('NonQM (LP)'!$U$22, $J$6:$J$7, 0)),
   ISNUMBER(MATCH('NonQM (LP)'!$U$21, $G$8, 0)),
   'NonQM (LP)'!$U$13 = $C$4
), NA(), "")</f>
        <v/>
      </c>
      <c r="W54" s="92" t="s">
        <v>424</v>
      </c>
      <c r="Y54" s="92" t="s">
        <v>272</v>
      </c>
      <c r="Z54" s="154" t="str">
        <f>IF(AND(
   ISNUMBER(MATCH('NonQM (LP)'!$U$12, $A$3:$A$5, 0)),
   ISNUMBER(MATCH('NonQM (LP)'!$U$11, $B$8:$B$11, 0)),
   ISNUMBER(MATCH('NonQM (LP)'!$U$15, $D$18, 0)),
   ISNUMBER(MATCH('NonQM (LP)'!$U$22, $J$6:$J$7, 0)),
   ISNUMBER(MATCH('NonQM (LP)'!$U$21, $G$8, 0)),
   'NonQM (LP)'!$U$13 = $C$4
), NA(), "")</f>
        <v/>
      </c>
      <c r="AA54" s="92" t="s">
        <v>425</v>
      </c>
      <c r="AG54"/>
      <c r="AH54"/>
      <c r="AI54"/>
      <c r="AJ54"/>
      <c r="AK54"/>
      <c r="AL54"/>
      <c r="AM54"/>
      <c r="AN54"/>
      <c r="AO54" s="104" t="s">
        <v>227</v>
      </c>
      <c r="AP54" s="104"/>
    </row>
    <row r="55" spans="1:42" x14ac:dyDescent="0.25">
      <c r="A55" s="126" t="s">
        <v>426</v>
      </c>
      <c r="B55" s="577" t="str" cm="1">
        <f t="array" ref="B55">IF(AND(OR('NonQM (LP)'!U11=B11),OR('NonQM (LP)'!U24=K6),OR('NonQM (LP)'!U13=C4:C8)),NA(),"")</f>
        <v/>
      </c>
      <c r="C55" s="92" t="s">
        <v>427</v>
      </c>
      <c r="D55" s="102"/>
      <c r="F55" s="92" t="s">
        <v>419</v>
      </c>
      <c r="G55" s="153" t="str" cm="1">
        <f t="array" ref="G55">IF(AND('NonQM (LP)'!U12=A8,OR('NonQM (LP)'!U21=G10:G13),OR('NonQM (LP)'!U11=B6:B11),'NonQM (LP)'!U13=C3),NA(),"")</f>
        <v/>
      </c>
      <c r="H55" s="92" t="s">
        <v>428</v>
      </c>
      <c r="K55"/>
      <c r="L55" t="s">
        <v>429</v>
      </c>
      <c r="M55" s="342"/>
      <c r="N55" t="s">
        <v>430</v>
      </c>
      <c r="Q55" s="102" t="s">
        <v>310</v>
      </c>
      <c r="R55" s="153" t="str">
        <f>IF(AND(
   ISNUMBER(MATCH('NonQM (LP)'!$U$12, $A$9:$A$12, 0)),
   ISNUMBER(MATCH('NonQM (LP)'!$U$11, $B$9:$B$11, 0)),
   ISNUMBER(MATCH('NonQM (LP)'!$U$22, $J$6:$J$7, 0)),
   ISNUMBER(MATCH('NonQM (LP)'!$U$21, $G$3:$G$13, 0)),
   'NonQM (LP)'!$U$13 = $C$4
), NA(), "")</f>
        <v/>
      </c>
      <c r="S55" s="102" t="s">
        <v>431</v>
      </c>
      <c r="U55" s="92" t="s">
        <v>272</v>
      </c>
      <c r="V55" s="154" t="str">
        <f>IF(AND(
   ISNUMBER(MATCH('NonQM (LP)'!$U$12, $A$6, 0)),
   ISNUMBER(MATCH('NonQM (LP)'!$U$11, $B$10:$B$11, 0)),
   ISNUMBER(MATCH('NonQM (LP)'!$U$15, $D$16, 0)),
   ISNUMBER(MATCH('NonQM (LP)'!$U$22, $J$3:$J$5, 0)),
   ISNUMBER(MATCH('NonQM (LP)'!$U$21, $G$8, 0)),
   'NonQM (LP)'!$U$13 = $C$4
), NA(), "")</f>
        <v/>
      </c>
      <c r="W55" s="92" t="s">
        <v>432</v>
      </c>
      <c r="Y55" s="92" t="s">
        <v>272</v>
      </c>
      <c r="Z55" s="154" t="str">
        <f>IF(AND(
   ISNUMBER(MATCH('NonQM (LP)'!$U$12, $A$6, 0)),
   ISNUMBER(MATCH('NonQM (LP)'!$U$11, $B$9:$B$11, 0)),
   ISNUMBER(MATCH('NonQM (LP)'!$U$15, $D$18, 0)),
   ISNUMBER(MATCH('NonQM (LP)'!$U$22, $J$3:$J$5, 0)),
   ISNUMBER(MATCH('NonQM (LP)'!$U$21, $G$8, 0)),
   'NonQM (LP)'!$U$13 = $C$4
), NA(), "")</f>
        <v/>
      </c>
      <c r="AA55" s="92" t="s">
        <v>433</v>
      </c>
      <c r="AG55"/>
      <c r="AH55"/>
      <c r="AI55"/>
      <c r="AJ55"/>
      <c r="AK55"/>
      <c r="AL55"/>
      <c r="AM55"/>
      <c r="AN55"/>
      <c r="AO55" s="104" t="s">
        <v>227</v>
      </c>
      <c r="AP55" s="104"/>
    </row>
    <row r="56" spans="1:42" x14ac:dyDescent="0.25">
      <c r="A56" s="126" t="s">
        <v>434</v>
      </c>
      <c r="B56" s="577" t="str">
        <f>IF(AND(OR('NonQM (LP)'!U11=B11),OR('NonQM (LP)'!U24=K4)),NA(),"")</f>
        <v/>
      </c>
      <c r="C56" s="92" t="s">
        <v>435</v>
      </c>
      <c r="D56" s="102"/>
      <c r="F56" s="92" t="s">
        <v>398</v>
      </c>
      <c r="G56" s="153" t="str" cm="1">
        <f t="array" ref="G56">IF(AND('NonQM (LP)'!U12=A7,OR('NonQM (LP)'!U21=G4:G13),OR('NonQM (LP)'!U11=B11),'NonQM (LP)'!U13=C3),NA(),"")</f>
        <v/>
      </c>
      <c r="H56" s="92" t="s">
        <v>436</v>
      </c>
      <c r="K56"/>
      <c r="L56" t="s">
        <v>437</v>
      </c>
      <c r="M56" s="342"/>
      <c r="N56" t="s">
        <v>438</v>
      </c>
      <c r="Q56" s="102" t="s">
        <v>310</v>
      </c>
      <c r="R56" s="342" t="str">
        <f>IF(AND(
   ISNUMBER(MATCH('NonQM (LP)'!$U$12, $A$9:$A$10, 0)),
   ISNUMBER(MATCH('NonQM (LP)'!$U$11, $B$9:$B$11, 0)),
   ISNUMBER(MATCH('NonQM (LP)'!$U$22, $J$6:$J$7, 0)),
   ISNUMBER(MATCH('NonQM (LP)'!$U$21, $G$7, 0)),
   'NonQM (LP)'!$U$13 = $C$4
), NA(), "")</f>
        <v/>
      </c>
      <c r="S56" s="102" t="s">
        <v>439</v>
      </c>
      <c r="U56" s="92" t="s">
        <v>272</v>
      </c>
      <c r="V56" s="154" t="str">
        <f>IF(AND(
   ISNUMBER(MATCH('NonQM (LP)'!$U$12, $A$6, 0)),
   ISNUMBER(MATCH('NonQM (LP)'!$U$11, $B$9:$B$11, 0)),
   ISNUMBER(MATCH('NonQM (LP)'!$U$15, $D$16, 0)),
   ISNUMBER(MATCH('NonQM (LP)'!$U$22, $J$6:$J$7, 0)),
   ISNUMBER(MATCH('NonQM (LP)'!$U$21, $G$8, 0)),
   'NonQM (LP)'!$U$13 = $C$4
), NA(), "")</f>
        <v/>
      </c>
      <c r="W56" s="92" t="s">
        <v>440</v>
      </c>
      <c r="Y56" s="92" t="s">
        <v>272</v>
      </c>
      <c r="Z56" s="154" t="str">
        <f>IF(AND(
   ISNUMBER(MATCH('NonQM (LP)'!$U$12, $A$6, 0)),
   ISNUMBER(MATCH('NonQM (LP)'!$U$11, $B$8:$B$11, 0)),
   ISNUMBER(MATCH('NonQM (LP)'!$U$15, $D$18, 0)),
   ISNUMBER(MATCH('NonQM (LP)'!$U$22, $J$6:$J$7, 0)),
   ISNUMBER(MATCH('NonQM (LP)'!$U$21, $G$8, 0)),
   'NonQM (LP)'!$U$13 = $C$4
), NA(), "")</f>
        <v/>
      </c>
      <c r="AA56" s="92" t="s">
        <v>441</v>
      </c>
      <c r="AG56" s="604" t="s">
        <v>63</v>
      </c>
      <c r="AH56" s="605"/>
      <c r="AI56" s="605"/>
      <c r="AJ56"/>
      <c r="AK56"/>
      <c r="AL56"/>
      <c r="AM56"/>
      <c r="AN56"/>
      <c r="AO56" s="104" t="s">
        <v>227</v>
      </c>
      <c r="AP56" s="104"/>
    </row>
    <row r="57" spans="1:42" x14ac:dyDescent="0.25">
      <c r="A57" s="126" t="s">
        <v>442</v>
      </c>
      <c r="B57" s="577" t="str" cm="1">
        <f t="array" ref="B57">IF(AND(OR('NonQM (LP)'!U11=B9:B11),OR('NonQM (LP)'!U24=K8)),NA(),"")</f>
        <v/>
      </c>
      <c r="C57" s="92" t="s">
        <v>443</v>
      </c>
      <c r="D57" s="102"/>
      <c r="F57" s="92" t="s">
        <v>398</v>
      </c>
      <c r="G57" s="153" t="str" cm="1">
        <f t="array" ref="G57">IF(AND('NonQM (LP)'!U12=A7,OR('NonQM (LP)'!U21=G7:G13),OR('NonQM (LP)'!U11=B10:B11),'NonQM (LP)'!U13=C3),NA(),"")</f>
        <v/>
      </c>
      <c r="H57" s="92" t="s">
        <v>444</v>
      </c>
      <c r="K57"/>
      <c r="L57" t="s">
        <v>445</v>
      </c>
      <c r="M57" s="342"/>
      <c r="N57" t="s">
        <v>446</v>
      </c>
      <c r="Q57" s="102" t="s">
        <v>310</v>
      </c>
      <c r="R57" s="153" t="str">
        <f>IF(AND(
   ISNUMBER(MATCH('NonQM (LP)'!$U$12, $A$11:$A$12, 0)),
   ISNUMBER(MATCH('NonQM (LP)'!$U$11, $B$8:$B$11, 0)),
   ISNUMBER(MATCH('NonQM (LP)'!$U$22, $J$6:$J$7, 0)),
   ISNUMBER(MATCH('NonQM (LP)'!$U$21, $G$7, 0)),
   'NonQM (LP)'!$U$13 = $C$4
), NA(), "")</f>
        <v/>
      </c>
      <c r="S57" s="102" t="s">
        <v>447</v>
      </c>
      <c r="U57" s="92" t="s">
        <v>272</v>
      </c>
      <c r="V57" s="154" t="str">
        <f>IF(AND(
   ISNUMBER(MATCH('NonQM (LP)'!$U$12, $A$7, 0)),
   ISNUMBER(MATCH('NonQM (LP)'!$U$11, $B$10:$B$11, 0)),
   ISNUMBER(MATCH('NonQM (LP)'!$U$15, $D$16, 0)),
   ISNUMBER(MATCH('NonQM (LP)'!$U$22, $J$3:$J$5, 0)),
   ISNUMBER(MATCH('NonQM (LP)'!$U$21, $G$8, 0)),
   'NonQM (LP)'!$U$13 = $C$4
), NA(), "")</f>
        <v/>
      </c>
      <c r="W57" s="92" t="s">
        <v>448</v>
      </c>
      <c r="Y57" s="92" t="s">
        <v>272</v>
      </c>
      <c r="Z57" s="154" t="str">
        <f>IF(AND(
   ISNUMBER(MATCH('NonQM (LP)'!$U$12, $A$7, 0)),
   ISNUMBER(MATCH('NonQM (LP)'!$U$11, $B$9:$B$11, 0)),
   ISNUMBER(MATCH('NonQM (LP)'!$U$15, $D$18, 0)),
   ISNUMBER(MATCH('NonQM (LP)'!$U$22, $J$3:$J$5, 0)),
   ISNUMBER(MATCH('NonQM (LP)'!$U$21, $G$8, 0)),
   'NonQM (LP)'!$U$13 = $C$4
), NA(), "")</f>
        <v/>
      </c>
      <c r="AA57" s="92" t="s">
        <v>449</v>
      </c>
      <c r="AG57" t="s">
        <v>450</v>
      </c>
      <c r="AH57" s="342" t="str">
        <f>IF(AND(
   ISNUMBER(MATCH('NonQM (LP)'!$U$12, $A$3:$A$12, 0)),
   ISNUMBER(MATCH('NonQM (LP)'!$U$11, $B$10:$B$11, 0)),
   ISNUMBER(MATCH('NonQM (LP)'!$U$22, $J$3:$J$8, 0)),
   ISNUMBER(MATCH('NonQM (LP)'!$U$21, $G$3:$G$13, 0)),
   'NonQM (LP)'!$U$13 = $C$4,
   'NonQM (LP)'!$U$18 = $E$8
), NA(), "")</f>
        <v/>
      </c>
      <c r="AI57" t="s">
        <v>451</v>
      </c>
      <c r="AJ57"/>
      <c r="AK57"/>
      <c r="AL57"/>
      <c r="AM57"/>
      <c r="AN57"/>
      <c r="AO57" s="104" t="s">
        <v>227</v>
      </c>
      <c r="AP57" s="104"/>
    </row>
    <row r="58" spans="1:42" x14ac:dyDescent="0.25">
      <c r="A58" s="126" t="s">
        <v>452</v>
      </c>
      <c r="B58" s="577" t="str" cm="1">
        <f t="array" ref="B58">IF(AND(OR('NonQM (LP)'!U11=B10:B11),OR('NonQM (LP)'!U24=K5)),NA(),"")</f>
        <v/>
      </c>
      <c r="C58" s="92" t="s">
        <v>453</v>
      </c>
      <c r="D58" s="102"/>
      <c r="F58" s="92" t="s">
        <v>419</v>
      </c>
      <c r="G58" s="153" t="str" cm="1">
        <f t="array" ref="G58">IF(AND('NonQM (LP)'!U12=A7,OR('NonQM (LP)'!U21=G8:G13),OR('NonQM (LP)'!U11=B9:B11),'NonQM (LP)'!U13=C3),NA(),"")</f>
        <v/>
      </c>
      <c r="H58" s="92" t="s">
        <v>454</v>
      </c>
      <c r="K58"/>
      <c r="L58" t="s">
        <v>455</v>
      </c>
      <c r="M58" s="342"/>
      <c r="N58" t="s">
        <v>456</v>
      </c>
      <c r="O58" s="493"/>
      <c r="P58" s="493"/>
      <c r="Q58" s="102" t="s">
        <v>310</v>
      </c>
      <c r="R58" s="153" t="str">
        <f>IF(AND(
   ISNUMBER(MATCH('NonQM (LP)'!$U$12, $A$3:$A$7, 0)),
   ISNUMBER(MATCH('NonQM (LP)'!$U$11, $B$10:$B$11, 0)),
   ISNUMBER(MATCH('NonQM (LP)'!$U$22, $J$6:$J$7, 0)),
   ISNUMBER(MATCH('NonQM (LP)'!$U$21, $G$8, 0)),
   'NonQM (LP)'!$U$13 = $C$4
), NA(), "")</f>
        <v/>
      </c>
      <c r="S58" s="102" t="s">
        <v>457</v>
      </c>
      <c r="U58" s="92" t="s">
        <v>272</v>
      </c>
      <c r="V58" s="153" t="str">
        <f>IF(AND(
   ISNUMBER(MATCH('NonQM (LP)'!$U$12, $A$7, 0)),
   ISNUMBER(MATCH('NonQM (LP)'!$U$11, $B$9:$B$11, 0)),
   ISNUMBER(MATCH('NonQM (LP)'!$U$15, $D$16, 0)),
   ISNUMBER(MATCH('NonQM (LP)'!$U$22, $J$6:$J$7, 0)),
   ISNUMBER(MATCH('NonQM (LP)'!$U$21, $G$8, 0)),
   'NonQM (LP)'!$U$13 = $C$4
), NA(), "")</f>
        <v/>
      </c>
      <c r="W58" s="92" t="s">
        <v>458</v>
      </c>
      <c r="Y58" s="92" t="s">
        <v>272</v>
      </c>
      <c r="Z58" s="153" t="str">
        <f>IF(AND(
   ISNUMBER(MATCH('NonQM (LP)'!$U$12, $A$7, 0)),
   ISNUMBER(MATCH('NonQM (LP)'!$U$11, $B$8:$B$11, 0)),
   ISNUMBER(MATCH('NonQM (LP)'!$U$15, $D$18, 0)),
   ISNUMBER(MATCH('NonQM (LP)'!$U$22, $J$6:$J$7, 0)),
   ISNUMBER(MATCH('NonQM (LP)'!$U$21, $G$8, 0)),
   'NonQM (LP)'!$U$13 = $C$4
), NA(), "")</f>
        <v/>
      </c>
      <c r="AA58" s="92" t="s">
        <v>459</v>
      </c>
      <c r="AG58" t="s">
        <v>460</v>
      </c>
      <c r="AH58" s="342" t="str">
        <f>IF(AND(
   ISNUMBER(MATCH('NonQM (LP)'!$U$12, $A$10:$A$12, 0)),
   ISNUMBER(MATCH('NonQM (LP)'!$U$11, $B$3:$B$11, 0)),
   'NonQM (LP)'!$U$13 = $C$4,
   'NonQM (LP)'!$U$18 = $E$8
), NA(), "")</f>
        <v/>
      </c>
      <c r="AI58" t="s">
        <v>461</v>
      </c>
      <c r="AJ58"/>
      <c r="AK58"/>
      <c r="AL58"/>
      <c r="AM58"/>
      <c r="AN58"/>
      <c r="AO58" s="104" t="s">
        <v>227</v>
      </c>
      <c r="AP58" s="104"/>
    </row>
    <row r="59" spans="1:42" x14ac:dyDescent="0.25">
      <c r="A59" s="126" t="s">
        <v>176</v>
      </c>
      <c r="B59" s="576" t="str" cm="1">
        <f t="array" ref="B59">IF(AND(OR('NonQM (LP)'!U11=B8:B11),OR('NonQM (LP)'!U12=A11:A12),'NonQM (LP)'!U17=D5),NA(),"")</f>
        <v/>
      </c>
      <c r="C59" s="102" t="s">
        <v>462</v>
      </c>
      <c r="F59" s="92" t="s">
        <v>419</v>
      </c>
      <c r="G59" s="153" t="str" cm="1">
        <f t="array" ref="G59">IF(AND('NonQM (LP)'!U12=A7,OR('NonQM (LP)'!U21=G10:G13),OR('NonQM (LP)'!U11=B7:B11),'NonQM (LP)'!U13=C3),NA(),"")</f>
        <v/>
      </c>
      <c r="H59" s="92" t="s">
        <v>463</v>
      </c>
      <c r="K59"/>
      <c r="L59" t="s">
        <v>464</v>
      </c>
      <c r="M59" s="342"/>
      <c r="N59" t="s">
        <v>465</v>
      </c>
      <c r="Q59" s="102" t="s">
        <v>310</v>
      </c>
      <c r="R59" s="153" t="str">
        <f>IF(AND(
   ISNUMBER(MATCH('NonQM (LP)'!$U$12, $A$8, 0)),
   ISNUMBER(MATCH('NonQM (LP)'!$U$11, $B$9:$B$11, 0)),
   ISNUMBER(MATCH('NonQM (LP)'!$U$22, $J$6:$J$7, 0)),
   ISNUMBER(MATCH('NonQM (LP)'!$U$21, $G$8, 0)),
   'NonQM (LP)'!$U$13 = $C$4
), NA(), "")</f>
        <v/>
      </c>
      <c r="S59" s="102" t="s">
        <v>466</v>
      </c>
      <c r="U59" s="92" t="s">
        <v>272</v>
      </c>
      <c r="V59" s="153" t="str">
        <f>IF(AND(
   ISNUMBER(MATCH('NonQM (LP)'!$U$12, $A$8, 0)),
   ISNUMBER(MATCH('NonQM (LP)'!$U$11, $B$9:$B$11, 0)),
   ISNUMBER(MATCH('NonQM (LP)'!$U$15, $D$16, 0)),
   ISNUMBER(MATCH('NonQM (LP)'!$U$22, $J$3:$J$5, 0)),
   ISNUMBER(MATCH('NonQM (LP)'!$U$21, $G$8, 0)),
   'NonQM (LP)'!$U$13 = $C$4
), NA(), "")</f>
        <v/>
      </c>
      <c r="W59" s="92" t="s">
        <v>467</v>
      </c>
      <c r="Y59" s="92" t="s">
        <v>272</v>
      </c>
      <c r="Z59" s="153" t="str">
        <f>IF(AND(
   ISNUMBER(MATCH('NonQM (LP)'!$U$12, $A$8, 0)),
   ISNUMBER(MATCH('NonQM (LP)'!$U$11, $B$8:$B$11, 0)),
   ISNUMBER(MATCH('NonQM (LP)'!$U$15, $D$18, 0)),
   ISNUMBER(MATCH('NonQM (LP)'!$U$22, $J$3:$J$5, 0)),
   ISNUMBER(MATCH('NonQM (LP)'!$U$21, $G$8, 0)),
   'NonQM (LP)'!$U$13 = $C$4
), NA(), "")</f>
        <v/>
      </c>
      <c r="AA59" s="92" t="s">
        <v>468</v>
      </c>
      <c r="AG59" t="s">
        <v>469</v>
      </c>
      <c r="AH59" s="342" t="str">
        <f>IF(AND(
   ISNUMBER(MATCH('NonQM (LP)'!$U$21, $G$10:$G$13, 0)),
   ISNUMBER(MATCH('NonQM (LP)'!$U$11, $B$3:$B$11, 0)),
   'NonQM (LP)'!$U$13 = $C$4,
   'NonQM (LP)'!$U$18 = $E$8
), NA(), "")</f>
        <v/>
      </c>
      <c r="AI59" t="s">
        <v>470</v>
      </c>
      <c r="AJ59"/>
      <c r="AK59"/>
      <c r="AL59"/>
      <c r="AM59"/>
      <c r="AN59"/>
      <c r="AO59" s="104" t="s">
        <v>227</v>
      </c>
      <c r="AP59" s="104"/>
    </row>
    <row r="60" spans="1:42" x14ac:dyDescent="0.25">
      <c r="A60" s="99" t="s">
        <v>176</v>
      </c>
      <c r="B60" s="576" t="str" cm="1">
        <f t="array" ref="B60">IF(AND(OR('NonQM (LP)'!U11='Feed(WS)'!B10:B11),'NonQM (LP)'!U17='Feed(WS)'!D5,OR('NonQM (LP)'!U24='Feed(WS)'!K4:K6)),NA(),"")</f>
        <v/>
      </c>
      <c r="C60" s="92" t="s">
        <v>471</v>
      </c>
      <c r="F60" s="92" t="s">
        <v>398</v>
      </c>
      <c r="G60" s="153" t="str" cm="1">
        <f t="array" ref="G60">IF(AND('NonQM (LP)'!U12=A6,OR('NonQM (LP)'!U21=G4:G13),OR('NonQM (LP)'!U11=B11),'NonQM (LP)'!U13=C3),NA(),"")</f>
        <v/>
      </c>
      <c r="H60" s="92" t="s">
        <v>472</v>
      </c>
      <c r="K60"/>
      <c r="L60" t="s">
        <v>473</v>
      </c>
      <c r="M60" s="342"/>
      <c r="N60" t="s">
        <v>474</v>
      </c>
      <c r="Q60" s="102" t="s">
        <v>310</v>
      </c>
      <c r="R60" s="153" t="str">
        <f>IF(AND(
   ISNUMBER(MATCH('NonQM (LP)'!$U$12, $A$9:$A$10, 0)),
   ISNUMBER(MATCH('NonQM (LP)'!$U$11, $B$9:$B$11, 0)),
   ISNUMBER(MATCH('NonQM (LP)'!$U$22, $J$3:$J$5, 0)),
   ISNUMBER(MATCH('NonQM (LP)'!$U$21, $G$8, 0)),
   'NonQM (LP)'!$U$13 = $C$4
), NA(), "")</f>
        <v/>
      </c>
      <c r="S60" s="102" t="s">
        <v>475</v>
      </c>
      <c r="U60" s="92" t="s">
        <v>272</v>
      </c>
      <c r="V60" s="153" t="str">
        <f>IF(AND(
   ISNUMBER(MATCH('NonQM (LP)'!$U$12, $A$8, 0)),
   ISNUMBER(MATCH('NonQM (LP)'!$U$11, $B$8:$B$11, 0)),
   ISNUMBER(MATCH('NonQM (LP)'!$U$15, $D$16, 0)),
   ISNUMBER(MATCH('NonQM (LP)'!$U$22, $J$6:$J$7, 0)),
   ISNUMBER(MATCH('NonQM (LP)'!$U$21, $G$8, 0)),
   'NonQM (LP)'!$U$13 = $C$4
), NA(), "")</f>
        <v/>
      </c>
      <c r="W60" s="92" t="s">
        <v>476</v>
      </c>
      <c r="Y60" s="92" t="s">
        <v>272</v>
      </c>
      <c r="Z60" s="153" t="str">
        <f>IF(AND(
   ISNUMBER(MATCH('NonQM (LP)'!$U$12, $A$8, 0)),
   ISNUMBER(MATCH('NonQM (LP)'!$U$11, $B$7:$B$11, 0)),
   ISNUMBER(MATCH('NonQM (LP)'!$U$15, $D$18, 0)),
   ISNUMBER(MATCH('NonQM (LP)'!$U$22, $J$6:$J$7, 0)),
   ISNUMBER(MATCH('NonQM (LP)'!$U$21, $G$8, 0)),
   'NonQM (LP)'!$U$13 = $C$4
), NA(), "")</f>
        <v/>
      </c>
      <c r="AA60" s="92" t="s">
        <v>477</v>
      </c>
      <c r="AG60" t="s">
        <v>36</v>
      </c>
      <c r="AH60" s="342" t="str">
        <f>IF(AND(
   ISNUMBER(MATCH('NonQM (LP)'!$U$16, $E$15:$E$16, 0)),
   'NonQM (LP)'!$U$13 = $C$4,
   'NonQM (LP)'!$U$18 = $E$8
), NA(), "")</f>
        <v/>
      </c>
      <c r="AI60" t="s">
        <v>478</v>
      </c>
      <c r="AJ60"/>
      <c r="AK60"/>
      <c r="AL60"/>
      <c r="AM60"/>
      <c r="AN60"/>
      <c r="AO60" s="104" t="s">
        <v>227</v>
      </c>
      <c r="AP60" s="104"/>
    </row>
    <row r="61" spans="1:42" x14ac:dyDescent="0.25">
      <c r="A61" s="99" t="s">
        <v>176</v>
      </c>
      <c r="B61" s="576" t="str" cm="1">
        <f t="array" ref="B61">IF(AND(OR('NonQM (LP)'!U12='Feed(WS)'!A7:A12),'NonQM (LP)'!U17='Feed(WS)'!D5,OR('NonQM (LP)'!U11='Feed(WS)'!B9:B11),OR('NonQM (LP)'!U22='Feed(WS)'!J6:J7)),NA(),"")</f>
        <v/>
      </c>
      <c r="C61" s="92" t="s">
        <v>479</v>
      </c>
      <c r="F61" s="92" t="s">
        <v>419</v>
      </c>
      <c r="G61" s="153" t="str" cm="1">
        <f t="array" ref="G61">IF(AND('NonQM (LP)'!U12=A6,OR('NonQM (LP)'!U21=G8:G13),OR('NonQM (LP)'!U11=B10:B11),'NonQM (LP)'!U13=C3),NA(),"")</f>
        <v/>
      </c>
      <c r="H61" s="92" t="s">
        <v>480</v>
      </c>
      <c r="I61"/>
      <c r="J61"/>
      <c r="K61"/>
      <c r="L61" t="s">
        <v>481</v>
      </c>
      <c r="M61" s="342"/>
      <c r="N61" t="s">
        <v>482</v>
      </c>
      <c r="Q61" s="102" t="s">
        <v>310</v>
      </c>
      <c r="R61" s="153" t="str">
        <f>IF(AND(
   ISNUMBER(MATCH('NonQM (LP)'!$U$12, $A$9:$A$10, 0)),
   ISNUMBER(MATCH('NonQM (LP)'!$U$11, $B$8:$B$11, 0)),
   ISNUMBER(MATCH('NonQM (LP)'!$U$22, $J$6:$J$7, 0)),
   ISNUMBER(MATCH('NonQM (LP)'!$U$21, $G$8, 0)),
   'NonQM (LP)'!$U$13 = $C$4
), NA(), "")</f>
        <v/>
      </c>
      <c r="S61" s="102" t="s">
        <v>483</v>
      </c>
      <c r="U61" s="92" t="s">
        <v>272</v>
      </c>
      <c r="V61" s="153" t="str">
        <f>IF(AND(
   ISNUMBER(MATCH('NonQM (LP)'!$U$12, $A$9:$A$10, 0)),
   ISNUMBER(MATCH('NonQM (LP)'!$U$11, $B$8:$B$11, 0)),
   ISNUMBER(MATCH('NonQM (LP)'!$U$15, $D$16, 0)),
   ISNUMBER(MATCH('NonQM (LP)'!$U$22, $J$3:$J$5, 0)),
   ISNUMBER(MATCH('NonQM (LP)'!$U$21, $G$8, 0)),
   'NonQM (LP)'!$U$13 = $C$4
), NA(), "")</f>
        <v/>
      </c>
      <c r="W61" s="92" t="s">
        <v>484</v>
      </c>
      <c r="Y61" s="92" t="s">
        <v>272</v>
      </c>
      <c r="Z61" s="153" t="str">
        <f>IF(AND(
   ISNUMBER(MATCH('NonQM (LP)'!$U$12, $A$9:$A$10, 0)),
   ISNUMBER(MATCH('NonQM (LP)'!$U$11, $B$7:$B$11, 0)),
   ISNUMBER(MATCH('NonQM (LP)'!$U$15, $D$18, 0)),
   ISNUMBER(MATCH('NonQM (LP)'!$U$22, $J$3:$J$5, 0)),
   ISNUMBER(MATCH('NonQM (LP)'!$U$21, $G$8, 0)),
   'NonQM (LP)'!$U$13 = $C$4
), NA(), "")</f>
        <v/>
      </c>
      <c r="AA61" s="92" t="s">
        <v>485</v>
      </c>
      <c r="AG61" t="s">
        <v>486</v>
      </c>
      <c r="AH61" s="342" t="str">
        <f>IF(AND(
   ISNUMBER(MATCH('NonQM (LP)'!$U$15, $D$18:$D$19, 0)),
   'NonQM (LP)'!$U$13 = $C$4,
   'NonQM (LP)'!$U$18 = $E$8
), NA(), "")</f>
        <v/>
      </c>
      <c r="AI61" t="s">
        <v>487</v>
      </c>
      <c r="AJ61"/>
      <c r="AK61"/>
      <c r="AL61"/>
      <c r="AM61"/>
      <c r="AN61"/>
      <c r="AO61" s="104" t="s">
        <v>227</v>
      </c>
      <c r="AP61" s="104"/>
    </row>
    <row r="62" spans="1:42" x14ac:dyDescent="0.25">
      <c r="A62" s="101" t="s">
        <v>488</v>
      </c>
      <c r="B62" s="577" t="str" cm="1">
        <f t="array" ref="B62">IF(AND('NonQM (LP)'!U11=B11,'NonQM (LP)'!U20=F4,OR('NonQM (LP)'!U13=C3:C4)),NA(),"")</f>
        <v/>
      </c>
      <c r="C62" s="92" t="s">
        <v>489</v>
      </c>
      <c r="F62" s="92" t="s">
        <v>419</v>
      </c>
      <c r="G62" s="153" t="str" cm="1">
        <f t="array" ref="G62">IF(AND('NonQM (LP)'!U12=A6,OR('NonQM (LP)'!U21=G9:G13),OR('NonQM (LP)'!U11=B9:B11),'NonQM (LP)'!U13=C3),NA(),"")</f>
        <v/>
      </c>
      <c r="H62" s="92" t="s">
        <v>490</v>
      </c>
      <c r="I62"/>
      <c r="J62"/>
      <c r="K62"/>
      <c r="L62" t="s">
        <v>491</v>
      </c>
      <c r="M62" s="153"/>
      <c r="N62" s="92" t="s">
        <v>492</v>
      </c>
      <c r="Q62" s="102" t="s">
        <v>310</v>
      </c>
      <c r="R62" s="153" t="str">
        <f>IF(AND(
   ISNUMBER(MATCH('NonQM (LP)'!$U$12, $A$3:$A$7, 0)),
   ISNUMBER(MATCH('NonQM (LP)'!$U$11, $B$9:$B$11, 0)),
   ISNUMBER(MATCH('NonQM (LP)'!$U$22, $J$6:$J$7, 0)),
   ISNUMBER(MATCH('NonQM (LP)'!$U$21, $G$9, 0)),
   'NonQM (LP)'!$U$13 = $C$4
), NA(), "")</f>
        <v/>
      </c>
      <c r="S62" s="102" t="s">
        <v>493</v>
      </c>
      <c r="U62" s="92" t="s">
        <v>272</v>
      </c>
      <c r="V62" s="154" t="str">
        <f>IF(AND(
   ISNUMBER(MATCH('NonQM (LP)'!$U$12, $A$9:$A$10, 0)),
   ISNUMBER(MATCH('NonQM (LP)'!$U$11, $B$7:$B$11, 0)),
   ISNUMBER(MATCH('NonQM (LP)'!$U$15, $D$16, 0)),
   ISNUMBER(MATCH('NonQM (LP)'!$U$22, $J$6:$J$7, 0)),
   ISNUMBER(MATCH('NonQM (LP)'!$U$21, $G$8, 0)),
   'NonQM (LP)'!$U$13 = $C$4
), NA(), "")</f>
        <v/>
      </c>
      <c r="W62" s="92" t="s">
        <v>494</v>
      </c>
      <c r="Y62" s="92" t="s">
        <v>272</v>
      </c>
      <c r="Z62" s="154" t="str">
        <f>IF(AND(
   ISNUMBER(MATCH('NonQM (LP)'!$U$12, $A$9:$A$10, 0)),
   ISNUMBER(MATCH('NonQM (LP)'!$U$11, $B$6:$B$11, 0)),
   ISNUMBER(MATCH('NonQM (LP)'!$U$15, $D$18, 0)),
   ISNUMBER(MATCH('NonQM (LP)'!$U$22, $J$6:$J$7, 0)),
   ISNUMBER(MATCH('NonQM (LP)'!$U$21, $G$8, 0)),
   'NonQM (LP)'!$U$13 = $C$4
), NA(), "")</f>
        <v/>
      </c>
      <c r="AA62" s="92" t="s">
        <v>495</v>
      </c>
      <c r="AG62"/>
      <c r="AH62"/>
      <c r="AI62"/>
      <c r="AJ62"/>
      <c r="AK62"/>
      <c r="AL62"/>
      <c r="AM62"/>
      <c r="AN62"/>
      <c r="AO62" s="104" t="s">
        <v>227</v>
      </c>
      <c r="AP62" s="104"/>
    </row>
    <row r="63" spans="1:42" x14ac:dyDescent="0.25">
      <c r="A63" s="101" t="s">
        <v>496</v>
      </c>
      <c r="B63" s="577" t="str" cm="1">
        <f t="array" ref="B63">IF(AND(OR('NonQM (LP)'!U11=B10:B11),OR('NonQM (LP)'!U25=M5:M6,'NonQM (LP)'!U25=M9,'NonQM (LP)'!U25=M12)),NA(),"")</f>
        <v/>
      </c>
      <c r="C63" s="92" t="s">
        <v>497</v>
      </c>
      <c r="F63" s="92" t="s">
        <v>398</v>
      </c>
      <c r="G63" s="153" t="str" cm="1">
        <f t="array" ref="G63">IF(AND(OR('NonQM (LP)'!U12=A3:A5),OR('NonQM (LP)'!U21=G4:G13),OR('NonQM (LP)'!U11=B11),'NonQM (LP)'!U13=C3),NA(),"")</f>
        <v/>
      </c>
      <c r="H63" s="92" t="s">
        <v>498</v>
      </c>
      <c r="I63"/>
      <c r="J63"/>
      <c r="K63"/>
      <c r="L63" t="s">
        <v>499</v>
      </c>
      <c r="M63" s="153"/>
      <c r="N63" s="92" t="s">
        <v>500</v>
      </c>
      <c r="Q63" s="102" t="s">
        <v>310</v>
      </c>
      <c r="R63" s="153" t="str">
        <f>IF(AND(
   ISNUMBER(MATCH('NonQM (LP)'!$U$12, $A$8, 0)),
   ISNUMBER(MATCH('NonQM (LP)'!$U$11, $B$8:$B$11, 0)),
   ISNUMBER(MATCH('NonQM (LP)'!$U$22, $J$6:$J$7, 0)),
   ISNUMBER(MATCH('NonQM (LP)'!$U$21, $G$9, 0)),
   'NonQM (LP)'!$U$13 = $C$4
), NA(), "")</f>
        <v/>
      </c>
      <c r="S63" s="102" t="s">
        <v>501</v>
      </c>
      <c r="U63" s="92" t="s">
        <v>272</v>
      </c>
      <c r="V63" s="154" t="str">
        <f>IF(AND(
   ISNUMBER(MATCH('NonQM (LP)'!$U$12, $A$3:$A$7, 0)),
   ISNUMBER(MATCH('NonQM (LP)'!$U$11, $B$9:$B$11, 0)),
   ISNUMBER(MATCH('NonQM (LP)'!$U$15, $D$16, 0)),
   ISNUMBER(MATCH('NonQM (LP)'!$U$22, $J$3:$J$5, 0)),
   ISNUMBER(MATCH('NonQM (LP)'!$U$21, $G$9, 0)),
   'NonQM (LP)'!$U$13 = $C$4
), NA(), "")</f>
        <v/>
      </c>
      <c r="W63" s="92" t="s">
        <v>502</v>
      </c>
      <c r="Y63" s="92" t="s">
        <v>272</v>
      </c>
      <c r="Z63" s="154" t="str">
        <f>IF(AND(
   ISNUMBER(MATCH('NonQM (LP)'!$U$12, $A$3:$A$7, 0)),
   ISNUMBER(MATCH('NonQM (LP)'!$U$11, $B$8:$B$11, 0)),
   ISNUMBER(MATCH('NonQM (LP)'!$U$15, $D$18, 0)),
   ISNUMBER(MATCH('NonQM (LP)'!$U$22, $J$3:$J$5, 0)),
   ISNUMBER(MATCH('NonQM (LP)'!$U$21, $G$9, 0)),
   'NonQM (LP)'!$U$13 = $C$4
), NA(), "")</f>
        <v/>
      </c>
      <c r="AA63" s="92" t="s">
        <v>503</v>
      </c>
      <c r="AG63"/>
      <c r="AH63"/>
      <c r="AI63"/>
      <c r="AJ63"/>
      <c r="AK63"/>
      <c r="AL63"/>
      <c r="AM63"/>
      <c r="AN63"/>
      <c r="AO63" s="104" t="s">
        <v>227</v>
      </c>
      <c r="AP63" s="104"/>
    </row>
    <row r="64" spans="1:42" x14ac:dyDescent="0.25">
      <c r="A64" s="101" t="s">
        <v>504</v>
      </c>
      <c r="B64" s="577" t="str" cm="1">
        <f t="array" ref="B64">IF('NonQM (LP)'!U10=0,"",IF(AND(OR('NonQM (LP)'!U21=G9:G13),'NonQM (LP)'!U10&lt;E152),NA(),""))</f>
        <v/>
      </c>
      <c r="C64" s="92" t="s">
        <v>505</v>
      </c>
      <c r="F64" s="92" t="s">
        <v>419</v>
      </c>
      <c r="G64" s="153" t="str" cm="1">
        <f t="array" ref="G64">IF(AND(OR('NonQM (LP)'!U12=A3:A5),OR('NonQM (LP)'!U21=G10:G13),OR('NonQM (LP)'!U11=B9:B11),'NonQM (LP)'!U13=C3),NA(),"")</f>
        <v/>
      </c>
      <c r="H64" s="92" t="s">
        <v>506</v>
      </c>
      <c r="I64"/>
      <c r="J64"/>
      <c r="K64"/>
      <c r="L64" t="s">
        <v>507</v>
      </c>
      <c r="M64" s="153"/>
      <c r="N64" s="92" t="s">
        <v>508</v>
      </c>
      <c r="Q64" s="102" t="s">
        <v>310</v>
      </c>
      <c r="R64" s="153" t="str">
        <f>IF(AND(
   ISNUMBER(MATCH('NonQM (LP)'!$U$12, $A$9, 0)),
   ISNUMBER(MATCH('NonQM (LP)'!$U$11, $B$8:$B$11, 0)),
   ISNUMBER(MATCH('NonQM (LP)'!$U$22, $J$3:$J$5, 0)),
   ISNUMBER(MATCH('NonQM (LP)'!$U$21, $G$9, 0)),
   'NonQM (LP)'!$U$13 = $C$4
), NA(), "")</f>
        <v/>
      </c>
      <c r="S64" s="102" t="s">
        <v>509</v>
      </c>
      <c r="U64" s="92" t="s">
        <v>272</v>
      </c>
      <c r="V64" s="154" t="str">
        <f>IF(AND(
   ISNUMBER(MATCH('NonQM (LP)'!$U$12, $A$3:$A$7, 0)),
   ISNUMBER(MATCH('NonQM (LP)'!$U$11, $B$8:$B$11, 0)),
   ISNUMBER(MATCH('NonQM (LP)'!$U$15, $D$16, 0)),
   ISNUMBER(MATCH('NonQM (LP)'!$U$22, $J$6:$J$7, 0)),
   ISNUMBER(MATCH('NonQM (LP)'!$U$21, $G$9, 0)),
   'NonQM (LP)'!$U$13 = $C$4
), NA(), "")</f>
        <v/>
      </c>
      <c r="W64" s="92" t="s">
        <v>510</v>
      </c>
      <c r="Y64" s="92" t="s">
        <v>272</v>
      </c>
      <c r="Z64" s="154" t="str">
        <f>IF(AND(
   ISNUMBER(MATCH('NonQM (LP)'!$U$12, $A$3:$A$7, 0)),
   ISNUMBER(MATCH('NonQM (LP)'!$U$11, $B$7:$B$11, 0)),
   ISNUMBER(MATCH('NonQM (LP)'!$U$15, $D$18, 0)),
   ISNUMBER(MATCH('NonQM (LP)'!$U$22, $J$6:$J$7, 0)),
   ISNUMBER(MATCH('NonQM (LP)'!$U$21, $G$9, 0)),
   'NonQM (LP)'!$U$13 = $C$4
), NA(), "")</f>
        <v/>
      </c>
      <c r="AA64" s="92" t="s">
        <v>511</v>
      </c>
      <c r="AG64"/>
      <c r="AH64"/>
      <c r="AI64"/>
      <c r="AJ64"/>
      <c r="AK64"/>
      <c r="AL64"/>
      <c r="AM64"/>
      <c r="AN64"/>
      <c r="AO64" s="104" t="s">
        <v>227</v>
      </c>
      <c r="AP64" s="104"/>
    </row>
    <row r="65" spans="1:42" x14ac:dyDescent="0.25">
      <c r="A65" s="101" t="s">
        <v>512</v>
      </c>
      <c r="B65" s="578" t="str" cm="1">
        <f t="array" ref="B65">IF('NonQM (LP)'!$U$10=0,"",IF(AND(OR('NonQM (LP)'!$U$19=$P$6:$P$7),'NonQM (LP)'!$U$10&lt;$E$152),NA(),""))</f>
        <v/>
      </c>
      <c r="C65" s="92" t="s">
        <v>513</v>
      </c>
      <c r="F65" s="92" t="s">
        <v>514</v>
      </c>
      <c r="G65" s="153" t="str" cm="1">
        <f t="array" ref="G65">IF(AND(OR('NonQM (LP)'!U12=A8),OR('NonQM (LP)'!U21=G7:G13),OR('NonQM (LP)'!U11=B8:B11),'NonQM (LP)'!U13=C3,OR('NonQM (LP)'!U22=J6:J7)),NA(),"")</f>
        <v/>
      </c>
      <c r="H65" s="92" t="s">
        <v>515</v>
      </c>
      <c r="I65"/>
      <c r="J65"/>
      <c r="K65"/>
      <c r="L65" t="s">
        <v>516</v>
      </c>
      <c r="M65" s="153"/>
      <c r="N65" s="92" t="s">
        <v>517</v>
      </c>
      <c r="Q65" s="102" t="s">
        <v>310</v>
      </c>
      <c r="R65" s="153" t="str">
        <f>IF(AND(
   ISNUMBER(MATCH('NonQM (LP)'!$U$12, $A$9, 0)),
   ISNUMBER(MATCH('NonQM (LP)'!$U$11, $B$7:$B$11, 0)),
   ISNUMBER(MATCH('NonQM (LP)'!$U$22, $J$6:$J$7, 0)),
   ISNUMBER(MATCH('NonQM (LP)'!$U$21, $G$9, 0)),
   'NonQM (LP)'!$U$13 = $C$4
), NA(), "")</f>
        <v/>
      </c>
      <c r="S65" s="102" t="s">
        <v>518</v>
      </c>
      <c r="U65" s="92" t="s">
        <v>272</v>
      </c>
      <c r="V65" s="154" t="str">
        <f>IF(AND(
   ISNUMBER(MATCH('NonQM (LP)'!$U$12, $A$8, 0)),
   ISNUMBER(MATCH('NonQM (LP)'!$U$11, $B$8:$B$11, 0)),
   ISNUMBER(MATCH('NonQM (LP)'!$U$15, $D$16, 0)),
   ISNUMBER(MATCH('NonQM (LP)'!$U$22, $J$3:$J$5, 0)),
   ISNUMBER(MATCH('NonQM (LP)'!$U$21, $G$9, 0)),
   'NonQM (LP)'!$U$13 = $C$4
), NA(), "")</f>
        <v/>
      </c>
      <c r="W65" s="92" t="s">
        <v>519</v>
      </c>
      <c r="Y65" s="92" t="s">
        <v>272</v>
      </c>
      <c r="Z65" s="154" t="str">
        <f>IF(AND(
   ISNUMBER(MATCH('NonQM (LP)'!$U$12, $A$8, 0)),
   ISNUMBER(MATCH('NonQM (LP)'!$U$11, $B$7:$B$11, 0)),
   ISNUMBER(MATCH('NonQM (LP)'!$U$15, $D$18, 0)),
   ISNUMBER(MATCH('NonQM (LP)'!$U$22, $J$3:$J$5, 0)),
   ISNUMBER(MATCH('NonQM (LP)'!$U$21, $G$9, 0)),
   'NonQM (LP)'!$U$13 = $C$4
), NA(), "")</f>
        <v/>
      </c>
      <c r="AA65" s="92" t="s">
        <v>520</v>
      </c>
      <c r="AG65" s="604" t="s">
        <v>521</v>
      </c>
      <c r="AH65" s="605"/>
      <c r="AI65" s="605"/>
      <c r="AJ65"/>
      <c r="AK65"/>
      <c r="AL65"/>
      <c r="AM65"/>
      <c r="AN65"/>
      <c r="AO65" s="104"/>
      <c r="AP65" s="104"/>
    </row>
    <row r="66" spans="1:42" x14ac:dyDescent="0.25">
      <c r="A66" s="101" t="s">
        <v>522</v>
      </c>
      <c r="B66" s="577" t="str" cm="1">
        <f t="array" ref="B66">IF(AND(OR('NonQM (LP)'!U29=T5),OR('NonQM (LP)'!U27=H3),OR('NonQM (LP)'!U23=L5:L6)),NA(),"")</f>
        <v/>
      </c>
      <c r="F66" s="92" t="s">
        <v>514</v>
      </c>
      <c r="G66" s="153" t="str" cm="1">
        <f t="array" ref="G66">IF(AND(OR('NonQM (LP)'!U12=A8),OR('NonQM (LP)'!U21=G9:G13),OR('NonQM (LP)'!U11=B6:B11),'NonQM (LP)'!U13=C3,OR('NonQM (LP)'!U22=J6:J7)),NA(),"")</f>
        <v/>
      </c>
      <c r="H66" s="92" t="s">
        <v>523</v>
      </c>
      <c r="I66"/>
      <c r="J66"/>
      <c r="K66"/>
      <c r="L66" s="92" t="s">
        <v>524</v>
      </c>
      <c r="M66" s="153"/>
      <c r="N66" s="92" t="s">
        <v>525</v>
      </c>
      <c r="Q66" s="102" t="s">
        <v>310</v>
      </c>
      <c r="R66" s="153" t="str">
        <f>IF(AND(
   ISNUMBER(MATCH('NonQM (LP)'!$U$12, $A$3:$A$6, 0)),
   ISNUMBER(MATCH('NonQM (LP)'!$U$11, $B$9:$B$11, 0)),
   ISNUMBER(MATCH('NonQM (LP)'!$U$22, $J$6:$J$7, 0)),
   ISNUMBER(MATCH('NonQM (LP)'!$U$21, $G$10, 0)),
   'NonQM (LP)'!$U$13 = $C$4
), NA(), "")</f>
        <v/>
      </c>
      <c r="S66" s="102" t="s">
        <v>526</v>
      </c>
      <c r="U66" s="92" t="s">
        <v>272</v>
      </c>
      <c r="V66" s="154" t="str">
        <f>IF(AND(
   ISNUMBER(MATCH('NonQM (LP)'!$U$12, $A$8, 0)),
   ISNUMBER(MATCH('NonQM (LP)'!$U$11, $B$7:$B$11, 0)),
   ISNUMBER(MATCH('NonQM (LP)'!$U$15, $D$16, 0)),
   ISNUMBER(MATCH('NonQM (LP)'!$U$22, $J$6:$J$7, 0)),
   ISNUMBER(MATCH('NonQM (LP)'!$U$21, $G$9, 0)),
   'NonQM (LP)'!$U$13 = $C$4
), NA(), "")</f>
        <v/>
      </c>
      <c r="W66" s="92" t="s">
        <v>527</v>
      </c>
      <c r="Y66" s="92" t="s">
        <v>272</v>
      </c>
      <c r="Z66" s="154" t="str">
        <f>IF(AND(
   ISNUMBER(MATCH('NonQM (LP)'!$U$12, $A$8, 0)),
   ISNUMBER(MATCH('NonQM (LP)'!$U$11, $B$6:$B$11, 0)),
   ISNUMBER(MATCH('NonQM (LP)'!$U$15, $D$18, 0)),
   ISNUMBER(MATCH('NonQM (LP)'!$U$22, $J$6:$J$7, 0)),
   ISNUMBER(MATCH('NonQM (LP)'!$U$21, $G$9, 0)),
   'NonQM (LP)'!$U$13 = $C$4
), NA(), "")</f>
        <v/>
      </c>
      <c r="AA66" s="92" t="s">
        <v>528</v>
      </c>
      <c r="AG66" t="s">
        <v>529</v>
      </c>
      <c r="AH66" s="342"/>
      <c r="AI66" t="s">
        <v>530</v>
      </c>
      <c r="AJ66"/>
      <c r="AK66"/>
      <c r="AL66"/>
      <c r="AM66"/>
      <c r="AN66"/>
      <c r="AO66" s="104"/>
      <c r="AP66" s="104"/>
    </row>
    <row r="67" spans="1:42" x14ac:dyDescent="0.25">
      <c r="A67" s="128" t="s">
        <v>531</v>
      </c>
      <c r="B67" s="579">
        <f>SUM(B39:B66)+SUM(G38:G76)+SUM(M38:M77)+SUM(R38:R84)+SUM(AH38:AH99)+SUM(Z37:Z125)+SUM(V37:V92)+SUM(AL38:AL45)</f>
        <v>0</v>
      </c>
      <c r="E67" s="119"/>
      <c r="F67" s="92" t="s">
        <v>514</v>
      </c>
      <c r="G67" s="153" t="str" cm="1">
        <f t="array" ref="G67">IF(AND(OR('NonQM (LP)'!U12=A7),OR('NonQM (LP)'!U21=G8:G13),OR('NonQM (LP)'!U11=B8:B11),'NonQM (LP)'!U13=C3,OR('NonQM (LP)'!U22=J6:J7)),NA(),"")</f>
        <v/>
      </c>
      <c r="H67" s="92" t="s">
        <v>532</v>
      </c>
      <c r="I67"/>
      <c r="J67"/>
      <c r="K67"/>
      <c r="L67" s="92" t="s">
        <v>533</v>
      </c>
      <c r="M67" s="153"/>
      <c r="N67" s="92" t="s">
        <v>534</v>
      </c>
      <c r="Q67" s="102" t="s">
        <v>310</v>
      </c>
      <c r="R67" s="153" t="str">
        <f>IF(AND(
   ISNUMBER(MATCH('NonQM (LP)'!$U$12, $A$7, 0)),
   ISNUMBER(MATCH('NonQM (LP)'!$U$11, $B$8:$B$11, 0)),
   ISNUMBER(MATCH('NonQM (LP)'!$U$22, $J$6:$J$7, 0)),
   ISNUMBER(MATCH('NonQM (LP)'!$U$21, $G$10, 0)),
   'NonQM (LP)'!$U$13 = $C$4
), NA(), "")</f>
        <v/>
      </c>
      <c r="S67" s="102" t="s">
        <v>535</v>
      </c>
      <c r="U67" s="92" t="s">
        <v>272</v>
      </c>
      <c r="V67" s="154" t="str">
        <f>IF(AND(
   ISNUMBER(MATCH('NonQM (LP)'!$U$12, $A$3:$A$6, 0)),
   ISNUMBER(MATCH('NonQM (LP)'!$U$11, $B$8:$B$11, 0)),
   ISNUMBER(MATCH('NonQM (LP)'!$U$15, $D$16, 0)),
   ISNUMBER(MATCH('NonQM (LP)'!$U$22, $J$3:$J$5, 0)),
   ISNUMBER(MATCH('NonQM (LP)'!$U$21, $G$10, 0)),
   'NonQM (LP)'!$U$13 = $C$4
), NA(), "")</f>
        <v/>
      </c>
      <c r="W67" s="92" t="s">
        <v>536</v>
      </c>
      <c r="Y67" s="92" t="s">
        <v>272</v>
      </c>
      <c r="Z67" s="154" t="str">
        <f>IF(AND(
   ISNUMBER(MATCH('NonQM (LP)'!$U$12, $A$3:$A$6, 0)),
   ISNUMBER(MATCH('NonQM (LP)'!$U$11, $B$7:$B$11, 0)),
   ISNUMBER(MATCH('NonQM (LP)'!$U$15, $D$18, 0)),
   ISNUMBER(MATCH('NonQM (LP)'!$U$22, $J$3:$J$5, 0)),
   ISNUMBER(MATCH('NonQM (LP)'!$U$21, $G$10, 0)),
   'NonQM (LP)'!$U$13 = $C$4
), NA(), "")</f>
        <v/>
      </c>
      <c r="AA67" s="92" t="s">
        <v>537</v>
      </c>
      <c r="AG67" s="92" t="s">
        <v>538</v>
      </c>
      <c r="AH67" s="154"/>
      <c r="AI67" s="92" t="s">
        <v>539</v>
      </c>
      <c r="AJ67" s="104"/>
      <c r="AK67" s="104"/>
      <c r="AL67" s="104"/>
      <c r="AM67" s="104"/>
      <c r="AN67" s="104"/>
      <c r="AO67" s="104"/>
      <c r="AP67" s="104"/>
    </row>
    <row r="68" spans="1:42" x14ac:dyDescent="0.25">
      <c r="A68" s="123" t="s">
        <v>49</v>
      </c>
      <c r="B68" s="123"/>
      <c r="C68"/>
      <c r="E68" s="119"/>
      <c r="F68" s="92" t="s">
        <v>514</v>
      </c>
      <c r="G68" s="153" t="str" cm="1">
        <f t="array" ref="G68">IF(AND(OR('NonQM (LP)'!U12=A7),OR('NonQM (LP)'!U21=G10:G13),OR('NonQM (LP)'!U11=B6:B11),'NonQM (LP)'!U13=C3,OR('NonQM (LP)'!U22=J6:J7)),NA(),"")</f>
        <v/>
      </c>
      <c r="H68" s="92" t="s">
        <v>540</v>
      </c>
      <c r="I68"/>
      <c r="J68"/>
      <c r="K68"/>
      <c r="L68" s="92" t="s">
        <v>541</v>
      </c>
      <c r="M68" s="153"/>
      <c r="N68" s="92" t="s">
        <v>542</v>
      </c>
      <c r="Q68" s="102" t="s">
        <v>310</v>
      </c>
      <c r="R68" s="153" t="str">
        <f>IF(AND(
   ISNUMBER(MATCH('NonQM (LP)'!$U$12, $A$8, 0)),
   ISNUMBER(MATCH('NonQM (LP)'!$U$11, $B$7:$B$11, 0)),
   ISNUMBER(MATCH('NonQM (LP)'!$U$22, $J$6:$J$7, 0)),
   ISNUMBER(MATCH('NonQM (LP)'!$U$21, $G$10, 0)),
   'NonQM (LP)'!$U$13 = $C$4
), NA(), "")</f>
        <v/>
      </c>
      <c r="S68" s="102" t="s">
        <v>543</v>
      </c>
      <c r="U68" s="92" t="s">
        <v>272</v>
      </c>
      <c r="V68" s="154" t="str">
        <f>IF(AND(
   ISNUMBER(MATCH('NonQM (LP)'!$U$12, $A$3:$A$6, 0)),
   ISNUMBER(MATCH('NonQM (LP)'!$U$11, $B$7:$B$11, 0)),
   ISNUMBER(MATCH('NonQM (LP)'!$U$15, $D$16, 0)),
   ISNUMBER(MATCH('NonQM (LP)'!$U$22, $J$6:$J$7, 0)),
   ISNUMBER(MATCH('NonQM (LP)'!$U$21, $G$10, 0)),
   'NonQM (LP)'!$U$13 = $C$4
), NA(), "")</f>
        <v/>
      </c>
      <c r="W68" s="92" t="s">
        <v>544</v>
      </c>
      <c r="Y68" s="92" t="s">
        <v>272</v>
      </c>
      <c r="Z68" s="154" t="str">
        <f>IF(AND(
   ISNUMBER(MATCH('NonQM (LP)'!$U$12, $A$3:$A$6, 0)),
   ISNUMBER(MATCH('NonQM (LP)'!$U$11, $B$6:$B$11, 0)),
   ISNUMBER(MATCH('NonQM (LP)'!$U$15, $D$18, 0)),
   ISNUMBER(MATCH('NonQM (LP)'!$U$22, $J$6:$J$7, 0)),
   ISNUMBER(MATCH('NonQM (LP)'!$U$21, $G$10, 0)),
   'NonQM (LP)'!$U$13 = $C$4
), NA(), "")</f>
        <v/>
      </c>
      <c r="AA68" s="92" t="s">
        <v>545</v>
      </c>
      <c r="AG68" s="92" t="s">
        <v>538</v>
      </c>
      <c r="AH68" s="154"/>
      <c r="AI68" s="92" t="s">
        <v>546</v>
      </c>
      <c r="AJ68" s="104"/>
      <c r="AK68" s="104"/>
      <c r="AL68" s="104"/>
      <c r="AM68" s="104"/>
      <c r="AN68" s="104"/>
      <c r="AO68" s="104"/>
      <c r="AP68" s="104"/>
    </row>
    <row r="69" spans="1:42" x14ac:dyDescent="0.25">
      <c r="A69" s="113" t="b" cm="1">
        <f t="array" ref="A69">IF(AND('NonQM (LP)'!U21='Feed(WS)'!J3,OR('NonQM (LP)'!U11='Feed(WS)'!B10:B11),'NonQM (LP)'!U12='Feed(WS)'!C4),TRUE(),FALSE)</f>
        <v>0</v>
      </c>
      <c r="B69" s="102" t="s">
        <v>547</v>
      </c>
      <c r="C69"/>
      <c r="F69" s="92" t="s">
        <v>514</v>
      </c>
      <c r="G69" s="153" t="str" cm="1">
        <f t="array" ref="G69">IF(AND(OR('NonQM (LP)'!U12=A6),OR('NonQM (LP)'!U21=G9:G13),OR('NonQM (LP)'!U11=B8:B11),'NonQM (LP)'!U13=C3,OR('NonQM (LP)'!U22=J6:J7)),NA(),"")</f>
        <v/>
      </c>
      <c r="H69" s="92" t="s">
        <v>548</v>
      </c>
      <c r="I69"/>
      <c r="J69"/>
      <c r="K69"/>
      <c r="L69" s="92" t="s">
        <v>549</v>
      </c>
      <c r="M69" s="153"/>
      <c r="N69" s="92" t="s">
        <v>550</v>
      </c>
      <c r="Q69" s="102" t="s">
        <v>310</v>
      </c>
      <c r="R69" s="153" t="str">
        <f>IF(AND(
   ISNUMBER(MATCH('NonQM (LP)'!$U$12, $A$9:$A$12, 0)),
   ISNUMBER(MATCH('NonQM (LP)'!$U$11, $B$6:$B$11, 0)),
   ISNUMBER(MATCH('NonQM (LP)'!$U$22, $J$3:$J$5, 0)),
   ISNUMBER(MATCH('NonQM (LP)'!$U$21, $G$10, 0)),
   'NonQM (LP)'!$U$13 = $C$4
), NA(), "")</f>
        <v/>
      </c>
      <c r="S69" s="102" t="s">
        <v>551</v>
      </c>
      <c r="U69" s="92" t="s">
        <v>272</v>
      </c>
      <c r="V69" s="154" t="str">
        <f>IF(AND(
   ISNUMBER(MATCH('NonQM (LP)'!$U$12, $A$7, 0)),
   ISNUMBER(MATCH('NonQM (LP)'!$U$11, $B$7:$B$11, 0)),
   ISNUMBER(MATCH('NonQM (LP)'!$U$15, $D$16, 0)),
   ISNUMBER(MATCH('NonQM (LP)'!$U$22, $J$3:$J$5, 0)),
   ISNUMBER(MATCH('NonQM (LP)'!$U$21, $G$10, 0)),
   'NonQM (LP)'!$U$13 = $C$4
), NA(), "")</f>
        <v/>
      </c>
      <c r="W69" s="92" t="s">
        <v>552</v>
      </c>
      <c r="Y69" s="92" t="s">
        <v>272</v>
      </c>
      <c r="Z69" s="154" t="str">
        <f>IF(AND(
   ISNUMBER(MATCH('NonQM (LP)'!$U$12, $A$7, 0)),
   ISNUMBER(MATCH('NonQM (LP)'!$U$11, $B$6:$B$11, 0)),
   ISNUMBER(MATCH('NonQM (LP)'!$U$15, $D$18, 0)),
   ISNUMBER(MATCH('NonQM (LP)'!$U$22, $J$3:$J$5, 0)),
   ISNUMBER(MATCH('NonQM (LP)'!$U$21, $G$10, 0)),
   'NonQM (LP)'!$U$13 = $C$4
), NA(), "")</f>
        <v/>
      </c>
      <c r="AA69" s="92" t="s">
        <v>553</v>
      </c>
      <c r="AG69" s="92" t="s">
        <v>538</v>
      </c>
      <c r="AH69" s="154"/>
      <c r="AI69" s="92" t="s">
        <v>554</v>
      </c>
      <c r="AJ69" s="104"/>
      <c r="AK69" s="104"/>
      <c r="AL69" s="104"/>
      <c r="AM69" s="104"/>
      <c r="AN69" s="104"/>
      <c r="AO69" s="104"/>
      <c r="AP69" s="104"/>
    </row>
    <row r="70" spans="1:42" x14ac:dyDescent="0.25">
      <c r="A70" s="113" t="b" cm="1">
        <f t="array" ref="A70">IF(AND('NonQM (LP)'!U11='Feed(WS)'!B10,'NonQM (LP)'!U12='Feed(WS)'!C4,OR('NonQM (LP)'!U11='Feed(WS)'!A3:A6),'NonQM (LP)'!U21='Feed(WS)'!J3,'NonQM (LP)'!U23='Feed(WS)'!L3),TRUE,FALSE)</f>
        <v>0</v>
      </c>
      <c r="B70" s="102" t="s">
        <v>555</v>
      </c>
      <c r="C70"/>
      <c r="F70" s="92" t="s">
        <v>514</v>
      </c>
      <c r="G70" s="153" t="str" cm="1">
        <f t="array" ref="G70">IF(AND(OR('NonQM (LP)'!U12=A3:A5),OR('NonQM (LP)'!U21=G10:G13),OR('NonQM (LP)'!U11=B8:B11),'NonQM (LP)'!U13=C3,OR('NonQM (LP)'!U22=J6:J7)),NA(),"")</f>
        <v/>
      </c>
      <c r="H70" s="92" t="s">
        <v>556</v>
      </c>
      <c r="J70"/>
      <c r="K70"/>
      <c r="L70" s="92" t="s">
        <v>557</v>
      </c>
      <c r="M70" s="153"/>
      <c r="N70" s="92" t="s">
        <v>558</v>
      </c>
      <c r="Q70" s="102" t="s">
        <v>310</v>
      </c>
      <c r="R70" s="153" t="str">
        <f>IF(AND(
   ISNUMBER(MATCH('NonQM (LP)'!$U$12, $A$9:$A$12, 0)),
   ISNUMBER(MATCH('NonQM (LP)'!$U$11, $B$5:$B$11, 0)),
   ISNUMBER(MATCH('NonQM (LP)'!$U$22, $J$6:$J$7, 0)),
   ISNUMBER(MATCH('NonQM (LP)'!$U$21, $G$10, 0)),
   'NonQM (LP)'!$U$13 = $C$4
), NA(), "")</f>
        <v/>
      </c>
      <c r="S70" s="102" t="s">
        <v>559</v>
      </c>
      <c r="U70" s="92" t="s">
        <v>272</v>
      </c>
      <c r="V70" s="154" t="str">
        <f>IF(AND(
   ISNUMBER(MATCH('NonQM (LP)'!$U$12, $A$7, 0)),
   ISNUMBER(MATCH('NonQM (LP)'!$U$11, $B$6:$B$11, 0)),
   ISNUMBER(MATCH('NonQM (LP)'!$U$15, $D$16, 0)),
   ISNUMBER(MATCH('NonQM (LP)'!$U$22, $J$6:$J$7, 0)),
   ISNUMBER(MATCH('NonQM (LP)'!$U$21, $G$10, 0)),
   'NonQM (LP)'!$U$13 = $C$4
), NA(), "")</f>
        <v/>
      </c>
      <c r="W70" s="92" t="s">
        <v>560</v>
      </c>
      <c r="Y70" s="92" t="s">
        <v>272</v>
      </c>
      <c r="Z70" s="154" t="str">
        <f>IF(AND(
   ISNUMBER(MATCH('NonQM (LP)'!$U$12, $A$7, 0)),
   ISNUMBER(MATCH('NonQM (LP)'!$U$11, $B$5:$B$11, 0)),
   ISNUMBER(MATCH('NonQM (LP)'!$U$15, $D$18, 0)),
   ISNUMBER(MATCH('NonQM (LP)'!$U$22, $J$6:$J$7, 0)),
   ISNUMBER(MATCH('NonQM (LP)'!$U$21, $G$10, 0)),
   'NonQM (LP)'!$U$13 = $C$4
), NA(), "")</f>
        <v/>
      </c>
      <c r="AA70" s="92" t="s">
        <v>561</v>
      </c>
      <c r="AG70" s="92" t="s">
        <v>562</v>
      </c>
      <c r="AH70" s="154"/>
      <c r="AI70" s="92" t="s">
        <v>563</v>
      </c>
      <c r="AJ70" s="104"/>
      <c r="AK70" s="104"/>
      <c r="AL70" s="104"/>
      <c r="AM70" s="104"/>
      <c r="AN70" s="104"/>
      <c r="AO70" s="104"/>
      <c r="AP70" s="104"/>
    </row>
    <row r="71" spans="1:42" x14ac:dyDescent="0.25">
      <c r="A71" s="113" t="b" cm="1">
        <f t="array" ref="A71">OR('NonQM (LP)'!U11='Feed(WS)'!B3:B9)</f>
        <v>0</v>
      </c>
      <c r="B71" s="102" t="s">
        <v>564</v>
      </c>
      <c r="C71"/>
      <c r="F71" s="92" t="s">
        <v>565</v>
      </c>
      <c r="G71" s="153" t="str" cm="1">
        <f t="array" ref="G71">IF(AND(OR('NonQM (LP)'!U11=B10:B11),'NonQM (LP)'!U13=C3,OR('NonQM (LP)'!U22=J4:J5)),NA(),"")</f>
        <v/>
      </c>
      <c r="H71" s="92" t="s">
        <v>566</v>
      </c>
      <c r="J71"/>
      <c r="K71"/>
      <c r="L71" s="92" t="s">
        <v>567</v>
      </c>
      <c r="M71" s="153"/>
      <c r="N71" s="92" t="s">
        <v>568</v>
      </c>
      <c r="Q71" s="102" t="s">
        <v>310</v>
      </c>
      <c r="R71" s="153" t="str">
        <f>IF(AND(
   ISNUMBER(MATCH('NonQM (LP)'!$U$12, $A$3:$A$6, 0)),
   ISNUMBER(MATCH('NonQM (LP)'!$U$11, $B$7:$B$11, 0)),
   ISNUMBER(MATCH('NonQM (LP)'!$U$22, $J$6:$J$7, 0)),
   ISNUMBER(MATCH('NonQM (LP)'!$U$21, $G$11, 0)),
   'NonQM (LP)'!$U$13 = $C$4
), NA(), "")</f>
        <v/>
      </c>
      <c r="S71" s="102" t="s">
        <v>569</v>
      </c>
      <c r="U71" s="92" t="s">
        <v>272</v>
      </c>
      <c r="V71" s="154" t="str">
        <f>IF(AND(
   ISNUMBER(MATCH('NonQM (LP)'!$U$12, $A$8, 0)),
   ISNUMBER(MATCH('NonQM (LP)'!$U$11, $B$6:$B$11, 0)),
   ISNUMBER(MATCH('NonQM (LP)'!$U$15, $D$16, 0)),
   ISNUMBER(MATCH('NonQM (LP)'!$U$22, $J$3:$J$5, 0)),
   ISNUMBER(MATCH('NonQM (LP)'!$U$21, $G$10, 0)),
   'NonQM (LP)'!$U$13 = $C$4
), NA(), "")</f>
        <v/>
      </c>
      <c r="W71" s="92" t="s">
        <v>570</v>
      </c>
      <c r="Y71" s="92" t="s">
        <v>272</v>
      </c>
      <c r="Z71" s="154" t="str">
        <f>IF(AND(
   ISNUMBER(MATCH('NonQM (LP)'!$U$12, $A$8, 0)),
   ISNUMBER(MATCH('NonQM (LP)'!$U$11, $B$5:$B$11, 0)),
   ISNUMBER(MATCH('NonQM (LP)'!$U$15, $D$18, 0)),
   ISNUMBER(MATCH('NonQM (LP)'!$U$22, $J$3:$J$5, 0)),
   ISNUMBER(MATCH('NonQM (LP)'!$U$21, $G$10, 0)),
   'NonQM (LP)'!$U$13 = $C$4
), NA(), "")</f>
        <v/>
      </c>
      <c r="AA71" s="92" t="s">
        <v>571</v>
      </c>
      <c r="AG71" s="92" t="s">
        <v>562</v>
      </c>
      <c r="AH71" s="154"/>
      <c r="AI71" s="92" t="s">
        <v>572</v>
      </c>
      <c r="AJ71" s="104"/>
      <c r="AK71" s="104"/>
      <c r="AL71" s="104"/>
      <c r="AM71" s="104"/>
      <c r="AN71" s="104"/>
      <c r="AO71" s="104"/>
      <c r="AP71" s="104"/>
    </row>
    <row r="72" spans="1:42" x14ac:dyDescent="0.25">
      <c r="A72" s="113" t="b" cm="1">
        <f t="array" ref="A72">IF(AND('NonQM (LP)'!U11='Feed(WS)'!B10,'NonQM (LP)'!U16='Feed(WS)'!D5,'NonQM (LP)'!U12='Feed(WS)'!C7,OR('NonQM (LP)'!U12=A3:A6),OR('NonQM (LP)'!U21='Feed(WS)'!J3:J4)),TRUE,FALSE)</f>
        <v>0</v>
      </c>
      <c r="B72" s="102" t="s">
        <v>573</v>
      </c>
      <c r="C72"/>
      <c r="F72" s="92" t="s">
        <v>574</v>
      </c>
      <c r="G72" s="153" t="str" cm="1">
        <f t="array" ref="G72">IF(AND('NonQM (LP)'!U13=C3,OR('NonQM (LP)'!U18=E4:E6)),NA(),"")</f>
        <v/>
      </c>
      <c r="H72" s="92" t="s">
        <v>575</v>
      </c>
      <c r="J72"/>
      <c r="K72"/>
      <c r="L72" s="92" t="s">
        <v>576</v>
      </c>
      <c r="M72" s="153"/>
      <c r="N72" s="92" t="s">
        <v>577</v>
      </c>
      <c r="Q72" s="102" t="s">
        <v>310</v>
      </c>
      <c r="R72" s="153" t="str">
        <f>IF(AND(
   ISNUMBER(MATCH('NonQM (LP)'!$U$12, $A$7:$A$8, 0)),
   ISNUMBER(MATCH('NonQM (LP)'!$U$11, $B$5:$B$11, 0)),
   ISNUMBER(MATCH('NonQM (LP)'!$U$22, $J$6:$J$7, 0)),
   ISNUMBER(MATCH('NonQM (LP)'!$U$21, $G$11, 0)),
   'NonQM (LP)'!$U$13 = $C$4
), NA(), "")</f>
        <v/>
      </c>
      <c r="S72" s="102" t="s">
        <v>578</v>
      </c>
      <c r="U72" s="92" t="s">
        <v>272</v>
      </c>
      <c r="V72" s="154" t="str">
        <f>IF(AND(
   ISNUMBER(MATCH('NonQM (LP)'!$U$12, $A$8, 0)),
   ISNUMBER(MATCH('NonQM (LP)'!$U$11, $B$5:$B$11, 0)),
   ISNUMBER(MATCH('NonQM (LP)'!$U$15, $D$16, 0)),
   ISNUMBER(MATCH('NonQM (LP)'!$U$22, $J$6:$J$7, 0)),
   ISNUMBER(MATCH('NonQM (LP)'!$U$21, $G$10, 0)),
   'NonQM (LP)'!$U$13 = $C$4
), NA(), "")</f>
        <v/>
      </c>
      <c r="W72" s="92" t="s">
        <v>579</v>
      </c>
      <c r="Y72" s="92" t="s">
        <v>272</v>
      </c>
      <c r="Z72" s="154" t="str">
        <f>IF(AND(
   ISNUMBER(MATCH('NonQM (LP)'!$U$12, $A$8, 0)),
   ISNUMBER(MATCH('NonQM (LP)'!$U$11, $B$4:$B$11, 0)),
   ISNUMBER(MATCH('NonQM (LP)'!$U$15, $D$18, 0)),
   ISNUMBER(MATCH('NonQM (LP)'!$U$22, $J$6:$J$7, 0)),
   ISNUMBER(MATCH('NonQM (LP)'!$U$21, $G$10, 0)),
   'NonQM (LP)'!$U$13 = $C$4
), NA(), "")</f>
        <v/>
      </c>
      <c r="AA72" s="92" t="s">
        <v>580</v>
      </c>
      <c r="AG72" s="92" t="s">
        <v>562</v>
      </c>
      <c r="AH72" s="154"/>
      <c r="AI72" s="92" t="s">
        <v>554</v>
      </c>
      <c r="AJ72" s="104"/>
      <c r="AK72" s="104"/>
      <c r="AL72" s="104"/>
      <c r="AM72" s="104"/>
      <c r="AN72" s="104"/>
      <c r="AO72" s="104"/>
      <c r="AP72" s="104"/>
    </row>
    <row r="73" spans="1:42" ht="15.75" customHeight="1" x14ac:dyDescent="0.25">
      <c r="A73" s="113" t="b" cm="1">
        <f t="array" ref="A73">IF(AND(OR('NonQM (LP)'!U21='Feed(WS)'!J3:J8),OR('NonQM (LP)'!U11='Feed(WS)'!B10:B11),'NonQM (LP)'!U12='Feed(WS)'!C3),TRUE(),FALSE)</f>
        <v>0</v>
      </c>
      <c r="B73" s="102" t="s">
        <v>581</v>
      </c>
      <c r="C73"/>
      <c r="F73" s="92" t="s">
        <v>582</v>
      </c>
      <c r="G73" s="153" t="str" cm="1">
        <f t="array" ref="G73">IF(AND(OR('NonQM (LP)'!U20=F4:F6),OR('NonQM (LP)'!U13=C3)),NA(),"")</f>
        <v/>
      </c>
      <c r="H73" s="92" t="s">
        <v>583</v>
      </c>
      <c r="J73"/>
      <c r="K73"/>
      <c r="L73" s="92" t="s">
        <v>584</v>
      </c>
      <c r="M73" s="153"/>
      <c r="N73" s="92" t="s">
        <v>585</v>
      </c>
      <c r="Q73" s="102" t="s">
        <v>310</v>
      </c>
      <c r="R73" s="153" t="str">
        <f>IF(AND(
   ISNUMBER(MATCH('NonQM (LP)'!$U$12, $A$9:$A$12, 0)),
   ISNUMBER(MATCH('NonQM (LP)'!$U$11, $B$4:$B$11, 0)),
   ISNUMBER(MATCH('NonQM (LP)'!$U$22, $J$3:$J$5, 0)),
   ISNUMBER(MATCH('NonQM (LP)'!$U$21, $G$11, 0)),
   'NonQM (LP)'!$U$13 = $C$4
), NA(), "")</f>
        <v/>
      </c>
      <c r="S73" s="102" t="s">
        <v>586</v>
      </c>
      <c r="U73" s="92" t="s">
        <v>272</v>
      </c>
      <c r="V73" s="154" t="str">
        <f>IF(AND(
   ISNUMBER(MATCH('NonQM (LP)'!$U$12, $A$9, 0)),
   ISNUMBER(MATCH('NonQM (LP)'!$U$11, $B$4:$B$11, 0)),
   ISNUMBER(MATCH('NonQM (LP)'!$U$15, $D$16, 0)),
   ISNUMBER(MATCH('NonQM (LP)'!$U$22, $J$3:$J$5, 0)),
   ISNUMBER(MATCH('NonQM (LP)'!$U$21, $G$10, 0)),
   'NonQM (LP)'!$U$13 = $C$4
), NA(), "")</f>
        <v/>
      </c>
      <c r="W73" s="92" t="s">
        <v>587</v>
      </c>
      <c r="Y73" s="92" t="s">
        <v>272</v>
      </c>
      <c r="Z73" s="154" t="str">
        <f>IF(AND(
   ISNUMBER(MATCH('NonQM (LP)'!$U$12, $A$9, 0)),
   ISNUMBER(MATCH('NonQM (LP)'!$U$11, $B$3:$B$11, 0)),
   ISNUMBER(MATCH('NonQM (LP)'!$U$15, $D$18, 0)),
   ISNUMBER(MATCH('NonQM (LP)'!$U$22, $J$3:$J$5, 0)),
   ISNUMBER(MATCH('NonQM (LP)'!$U$21, $G$10, 0)),
   'NonQM (LP)'!$U$13 = $C$4
), NA(), "")</f>
        <v/>
      </c>
      <c r="AA73" s="129" t="s">
        <v>588</v>
      </c>
      <c r="AG73" s="92" t="s">
        <v>589</v>
      </c>
      <c r="AH73" s="154"/>
      <c r="AI73" s="92" t="s">
        <v>590</v>
      </c>
      <c r="AJ73" s="104"/>
      <c r="AK73" s="104"/>
      <c r="AL73" s="104"/>
      <c r="AM73" s="104"/>
      <c r="AN73" s="104"/>
      <c r="AO73" s="104"/>
      <c r="AP73" s="104"/>
    </row>
    <row r="74" spans="1:42" x14ac:dyDescent="0.25">
      <c r="A74" s="113" t="b">
        <f>IF(AND('NonQM (LP)'!U21='Feed(WS)'!J4,OR('NonQM (LP)'!U11='Feed(WS)'!B10),'NonQM (LP)'!U12='Feed(WS)'!C4),TRUE(),FALSE)</f>
        <v>0</v>
      </c>
      <c r="B74" s="102" t="s">
        <v>591</v>
      </c>
      <c r="F74" s="92" t="s">
        <v>592</v>
      </c>
      <c r="G74" s="153" t="str" cm="1">
        <f t="array" ref="G74">IF(AND('NonQM (LP)'!U13=C3,OR('NonQM (LP)'!U19=P6:P7)),NA(),"")</f>
        <v/>
      </c>
      <c r="H74" s="92" t="s">
        <v>593</v>
      </c>
      <c r="L74" s="92" t="s">
        <v>594</v>
      </c>
      <c r="M74" s="153"/>
      <c r="N74" s="92" t="s">
        <v>595</v>
      </c>
      <c r="Q74" s="102" t="s">
        <v>310</v>
      </c>
      <c r="R74" s="153" t="str">
        <f>IF(AND(
   ISNUMBER(MATCH('NonQM (LP)'!$U$12, $A$9:$A$12, 0)),
   ISNUMBER(MATCH('NonQM (LP)'!$U$11, $B$4:$B$11, 0)),
   ISNUMBER(MATCH('NonQM (LP)'!$U$22, $J$6:$J$7, 0)),
   ISNUMBER(MATCH('NonQM (LP)'!$U$21, $G$11, 0)),
   'NonQM (LP)'!$U$13 = $C$4
), NA(), "")</f>
        <v/>
      </c>
      <c r="S74" s="102" t="s">
        <v>596</v>
      </c>
      <c r="U74" s="92" t="s">
        <v>272</v>
      </c>
      <c r="V74" s="154" t="str">
        <f>IF(AND(
   ISNUMBER(MATCH('NonQM (LP)'!$U$12, $A$9, 0)),
   ISNUMBER(MATCH('NonQM (LP)'!$U$11, $B$4:$B$11, 0)),
   ISNUMBER(MATCH('NonQM (LP)'!$U$15, $D$16, 0)),
   ISNUMBER(MATCH('NonQM (LP)'!$U$22, $J$6:$J$7, 0)),
   ISNUMBER(MATCH('NonQM (LP)'!$U$21, $G$10, 0)),
   'NonQM (LP)'!$U$13 = $C$4
), NA(), "")</f>
        <v/>
      </c>
      <c r="W74" s="92" t="s">
        <v>597</v>
      </c>
      <c r="Y74" s="92" t="s">
        <v>272</v>
      </c>
      <c r="Z74" s="154" t="str">
        <f>IF(AND(
   ISNUMBER(MATCH('NonQM (LP)'!$U$12, $A$9, 0)),
   ISNUMBER(MATCH('NonQM (LP)'!$U$11, $B$3:$B$11, 0)),
   ISNUMBER(MATCH('NonQM (LP)'!$U$15, $D$18, 0)),
   ISNUMBER(MATCH('NonQM (LP)'!$U$22, $J$6:$J$7, 0)),
   ISNUMBER(MATCH('NonQM (LP)'!$U$21, $G$10, 0)),
   'NonQM (LP)'!$U$13 = $C$4
), NA(), "")</f>
        <v/>
      </c>
      <c r="AA74" s="92" t="s">
        <v>597</v>
      </c>
      <c r="AG74" s="92" t="s">
        <v>538</v>
      </c>
      <c r="AH74" s="154"/>
      <c r="AI74" s="92" t="s">
        <v>598</v>
      </c>
      <c r="AJ74" s="104"/>
      <c r="AK74" s="104"/>
      <c r="AL74" s="104"/>
      <c r="AM74" s="104"/>
      <c r="AN74" s="104"/>
      <c r="AO74" s="104"/>
      <c r="AP74" s="104"/>
    </row>
    <row r="75" spans="1:42" x14ac:dyDescent="0.25">
      <c r="A75" s="113" t="b" cm="1">
        <f t="array" ref="A75">IF(AND(OR('NonQM (LP)'!U21='Feed(WS)'!J3:J4),OR('NonQM (LP)'!U11='Feed(WS)'!B10),'NonQM (LP)'!U16='Feed(WS)'!D5),TRUE(),FALSE)</f>
        <v>0</v>
      </c>
      <c r="B75" s="102" t="s">
        <v>599</v>
      </c>
      <c r="F75" s="130" t="s">
        <v>600</v>
      </c>
      <c r="G75" s="153" t="str">
        <f>IF(AND(
   ISNUMBER(MATCH('NonQM (LP)'!$U$11, $B$3:$B$11, 0)),
   ISNUMBER(MATCH('NonQM (LP)'!$U$17, $D$3:$D$4, 0)),
   'NonQM (LP)'!$U$13 = $C$3,
   'NonQM (LP)'!$U$18 = $E$8
), NA(), "")</f>
        <v/>
      </c>
      <c r="H75" s="130" t="s">
        <v>601</v>
      </c>
      <c r="L75" s="92" t="s">
        <v>602</v>
      </c>
      <c r="M75" s="153"/>
      <c r="N75" s="92" t="s">
        <v>603</v>
      </c>
      <c r="Q75" s="102" t="s">
        <v>310</v>
      </c>
      <c r="R75" s="153" t="str">
        <f>IF(AND(
   ISNUMBER(MATCH('NonQM (LP)'!$U$12, $A$3:$A$5, 0)),
   ISNUMBER(MATCH('NonQM (LP)'!$U$11, $B$6:$B$11, 0)),
   ISNUMBER(MATCH('NonQM (LP)'!$U$22, $J$6:$J$7, 0)),
   ISNUMBER(MATCH('NonQM (LP)'!$U$21, $G$12, 0)),
   'NonQM (LP)'!$U$13 = $C$4
), NA(), "")</f>
        <v/>
      </c>
      <c r="S75" s="102" t="s">
        <v>604</v>
      </c>
      <c r="U75" s="130" t="s">
        <v>272</v>
      </c>
      <c r="V75" s="154"/>
      <c r="W75" s="130" t="s">
        <v>605</v>
      </c>
      <c r="AG75" s="92" t="s">
        <v>538</v>
      </c>
      <c r="AH75" s="154"/>
      <c r="AI75" s="92" t="s">
        <v>606</v>
      </c>
      <c r="AJ75" s="104"/>
      <c r="AK75" s="104"/>
      <c r="AL75" s="104"/>
      <c r="AM75" s="104"/>
      <c r="AN75" s="104"/>
      <c r="AO75" s="104"/>
      <c r="AP75" s="104"/>
    </row>
    <row r="76" spans="1:42" x14ac:dyDescent="0.25">
      <c r="F76" s="92" t="s">
        <v>280</v>
      </c>
      <c r="G76" s="153" t="str">
        <f>IF(AND(OR('NonQM (LP)'!U24=K10),OR('NonQM (LP)'!U11=B11)),NA(),"")</f>
        <v/>
      </c>
      <c r="H76" s="92" t="s">
        <v>819</v>
      </c>
      <c r="L76" s="92" t="s">
        <v>607</v>
      </c>
      <c r="M76" s="153"/>
      <c r="N76" s="92" t="s">
        <v>603</v>
      </c>
      <c r="Q76" s="102" t="s">
        <v>310</v>
      </c>
      <c r="R76" s="153" t="str">
        <f>IF(AND(
   ISNUMBER(MATCH('NonQM (LP)'!$U$12, $A$6, 0)),
   ISNUMBER(MATCH('NonQM (LP)'!$U$11, $B$5:$B$11, 0)),
   ISNUMBER(MATCH('NonQM (LP)'!$U$22, $J$6:$J$7, 0)),
   ISNUMBER(MATCH('NonQM (LP)'!$U$21, $G$12, 0)),
   'NonQM (LP)'!$U$13 = $C$4
), NA(), "")</f>
        <v/>
      </c>
      <c r="S76" s="102" t="s">
        <v>608</v>
      </c>
      <c r="U76" s="130" t="s">
        <v>272</v>
      </c>
      <c r="V76" s="154"/>
      <c r="W76" s="130" t="s">
        <v>609</v>
      </c>
      <c r="AG76" s="92" t="s">
        <v>538</v>
      </c>
      <c r="AH76" s="153"/>
      <c r="AI76" s="92" t="s">
        <v>610</v>
      </c>
      <c r="AJ76" s="104"/>
      <c r="AK76" s="104"/>
      <c r="AL76" s="104"/>
      <c r="AM76" s="104"/>
      <c r="AN76" s="104"/>
      <c r="AO76" s="104"/>
      <c r="AP76" s="104"/>
    </row>
    <row r="77" spans="1:42" x14ac:dyDescent="0.25">
      <c r="L77" s="92" t="s">
        <v>178</v>
      </c>
      <c r="M77" s="153"/>
      <c r="N77" s="92" t="s">
        <v>611</v>
      </c>
      <c r="Q77" s="131" t="s">
        <v>612</v>
      </c>
      <c r="R77" s="153" t="str">
        <f>IF(AND(
   ISNUMBER(MATCH('NonQM (LP)'!$U$19, $P$6, 0)),
   ISNUMBER(MATCH('NonQM (LP)'!$U$11, $B$7:$B$11, 0)),
   ISNUMBER(MATCH('NonQM (LP)'!$U$22, $J$6:$J$7, 0)),
   ISNUMBER(MATCH('NonQM (LP)'!$U$21, $G$5, 0)),
   'NonQM (LP)'!$U$13 = $C$4
), NA(), "")</f>
        <v/>
      </c>
      <c r="S77" s="131" t="s">
        <v>774</v>
      </c>
      <c r="AG77" s="92" t="s">
        <v>562</v>
      </c>
      <c r="AH77" s="154"/>
      <c r="AI77" s="92" t="s">
        <v>613</v>
      </c>
      <c r="AJ77" s="104"/>
      <c r="AK77" s="104"/>
      <c r="AL77" s="104"/>
      <c r="AM77" s="104"/>
      <c r="AN77" s="104"/>
      <c r="AO77" s="104"/>
      <c r="AP77" s="104"/>
    </row>
    <row r="78" spans="1:42" x14ac:dyDescent="0.25">
      <c r="Q78" s="131" t="s">
        <v>612</v>
      </c>
      <c r="R78" s="153" t="str">
        <f>IF(AND(
   ISNUMBER(MATCH('NonQM (LP)'!$U$19, $P$6, 0)),
   ISNUMBER(MATCH('NonQM (LP)'!$U$11, $B$10:$B$11, 0)),
   ISNUMBER(MATCH('NonQM (LP)'!$U$22, $J$3:$J$8, 0)),
   ISNUMBER(MATCH('NonQM (LP)'!$U$21, $G$7:$G$13, 0)),
   'NonQM (LP)'!$U$13 = $C$4
), NA(), "")</f>
        <v/>
      </c>
      <c r="S78" s="131" t="s">
        <v>614</v>
      </c>
      <c r="AG78" s="92" t="s">
        <v>562</v>
      </c>
      <c r="AH78" s="154"/>
      <c r="AI78" s="92" t="s">
        <v>615</v>
      </c>
      <c r="AJ78" s="104"/>
      <c r="AK78" s="104"/>
      <c r="AL78" s="104"/>
      <c r="AM78" s="104"/>
      <c r="AN78" s="104"/>
      <c r="AO78" s="104"/>
      <c r="AP78" s="104"/>
    </row>
    <row r="79" spans="1:42" x14ac:dyDescent="0.25">
      <c r="Q79" s="131" t="s">
        <v>612</v>
      </c>
      <c r="R79" s="153" t="str">
        <f>IF(AND(
   ISNUMBER(MATCH('NonQM (LP)'!$U$19, $P$6, 0)),
   ISNUMBER(MATCH('NonQM (LP)'!$U$22, $J$3:$J$8, 0)),
   ISNUMBER(MATCH('NonQM (LP)'!$U$15, $D$16:$D$19, 0)),
   'NonQM (LP)'!$U$13 = $C$4
), NA(), "")</f>
        <v/>
      </c>
      <c r="S79" s="131" t="s">
        <v>616</v>
      </c>
      <c r="AG79" s="92" t="s">
        <v>562</v>
      </c>
      <c r="AH79" s="154"/>
      <c r="AI79" s="92" t="s">
        <v>617</v>
      </c>
      <c r="AJ79" s="104"/>
      <c r="AK79" s="104"/>
      <c r="AL79" s="104"/>
      <c r="AM79" s="104"/>
      <c r="AN79" s="104"/>
      <c r="AO79" s="104"/>
      <c r="AP79" s="104"/>
    </row>
    <row r="80" spans="1:42" ht="15.75" thickBot="1" x14ac:dyDescent="0.3">
      <c r="B80" s="711" t="s">
        <v>618</v>
      </c>
      <c r="C80" s="712"/>
      <c r="D80" s="712"/>
      <c r="E80" s="712"/>
      <c r="F80"/>
      <c r="I80" s="701" t="s">
        <v>618</v>
      </c>
      <c r="J80" s="702"/>
      <c r="K80" s="702"/>
      <c r="L80" s="703"/>
      <c r="Q80" s="92" t="s">
        <v>623</v>
      </c>
      <c r="AG80" s="92" t="s">
        <v>619</v>
      </c>
      <c r="AH80" s="436" t="str">
        <f>IF(AND(ISNUMBER(MATCH('NonQM (LP)'!U23,L3:L4,0)),
ISNUMBER(MATCH('NonQM (LP)'!U27,H3:H14,0))),NA(),"")</f>
        <v/>
      </c>
      <c r="AI80" s="92" t="s">
        <v>620</v>
      </c>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138">
        <v>0</v>
      </c>
      <c r="AG81" s="104"/>
      <c r="AJ81" s="104"/>
      <c r="AK81" s="104"/>
      <c r="AL81" s="104"/>
      <c r="AM81" s="104"/>
      <c r="AN81" s="104"/>
      <c r="AO81" s="104"/>
      <c r="AP81" s="104"/>
    </row>
    <row r="82" spans="2:48" ht="15.75" x14ac:dyDescent="0.25">
      <c r="B82" s="139">
        <f>'NonQM (LP)'!B11</f>
        <v>5.875</v>
      </c>
      <c r="C82" s="140">
        <f>'NonQM (LP)'!C11</f>
        <v>96.813000000000031</v>
      </c>
      <c r="D82" s="140">
        <f>'NonQM (LP)'!D11</f>
        <v>96.513000000000034</v>
      </c>
      <c r="E82" s="141"/>
      <c r="F82" s="141"/>
      <c r="G82" s="142" t="e">
        <f>SUM('NonQM (LP)'!V12:V35)+B67</f>
        <v>#N/A</v>
      </c>
      <c r="H82" s="143">
        <v>1</v>
      </c>
      <c r="I82" s="144">
        <f t="shared" ref="I82:I124" si="0">B82</f>
        <v>5.875</v>
      </c>
      <c r="J82" s="145" t="e">
        <f t="shared" ref="J82:J124" si="1">C82+$G$82</f>
        <v>#N/A</v>
      </c>
      <c r="K82" s="145" t="e">
        <f t="shared" ref="K82:K124" si="2">D82+$G$82</f>
        <v>#N/A</v>
      </c>
      <c r="L82" s="146"/>
      <c r="M82" s="146"/>
      <c r="N82" s="142" cm="1">
        <f t="array" ref="N82:N124">I82:I124</f>
        <v>5.875</v>
      </c>
      <c r="Q82" s="599"/>
      <c r="R82" s="599"/>
      <c r="S82" s="600"/>
      <c r="AH82" s="104"/>
      <c r="AJ82" s="104"/>
      <c r="AK82" s="104"/>
      <c r="AL82" s="104"/>
      <c r="AM82" s="104"/>
      <c r="AN82" s="104"/>
      <c r="AO82" s="104"/>
      <c r="AP82" s="104"/>
    </row>
    <row r="83" spans="2:48" x14ac:dyDescent="0.25">
      <c r="B83" s="147">
        <f>'NonQM (LP)'!B12</f>
        <v>5.9989999999999997</v>
      </c>
      <c r="C83" s="148">
        <f>'NonQM (LP)'!C12</f>
        <v>97.563000000000017</v>
      </c>
      <c r="D83" s="148">
        <f>'NonQM (LP)'!D12</f>
        <v>97.263000000000034</v>
      </c>
      <c r="E83" s="149"/>
      <c r="F83" s="149"/>
      <c r="G83" s="92" t="s">
        <v>625</v>
      </c>
      <c r="H83" s="143">
        <v>2</v>
      </c>
      <c r="I83" s="150">
        <f t="shared" si="0"/>
        <v>5.9989999999999997</v>
      </c>
      <c r="J83" s="151" t="e">
        <f t="shared" si="1"/>
        <v>#N/A</v>
      </c>
      <c r="K83" s="151" t="e">
        <f t="shared" si="2"/>
        <v>#N/A</v>
      </c>
      <c r="L83" s="152"/>
      <c r="M83" s="152"/>
      <c r="N83" s="142">
        <v>5.9989999999999997</v>
      </c>
      <c r="R83" s="153"/>
      <c r="S83" s="102"/>
      <c r="AH83" s="104"/>
      <c r="AJ83" s="104"/>
      <c r="AK83" s="104"/>
      <c r="AL83" s="104"/>
      <c r="AM83" s="104"/>
      <c r="AN83" s="104"/>
      <c r="AO83" s="104"/>
      <c r="AP83" s="104"/>
    </row>
    <row r="84" spans="2:48" x14ac:dyDescent="0.25">
      <c r="B84" s="147">
        <f>'NonQM (LP)'!B13</f>
        <v>6.125</v>
      </c>
      <c r="C84" s="148">
        <f>'NonQM (LP)'!C13</f>
        <v>98.187500000000014</v>
      </c>
      <c r="D84" s="148">
        <f>'NonQM (LP)'!D13</f>
        <v>97.887500000000031</v>
      </c>
      <c r="E84" s="149"/>
      <c r="F84" s="149"/>
      <c r="G84" s="92" t="s">
        <v>626</v>
      </c>
      <c r="H84" s="143">
        <v>3</v>
      </c>
      <c r="I84" s="150">
        <f t="shared" si="0"/>
        <v>6.125</v>
      </c>
      <c r="J84" s="151" t="e">
        <f t="shared" si="1"/>
        <v>#N/A</v>
      </c>
      <c r="K84" s="151" t="e">
        <f t="shared" si="2"/>
        <v>#N/A</v>
      </c>
      <c r="L84" s="152"/>
      <c r="M84" s="152"/>
      <c r="N84" s="142">
        <v>6.125</v>
      </c>
      <c r="R84" s="153"/>
      <c r="S84" s="102"/>
      <c r="AG84" s="602" t="s">
        <v>654</v>
      </c>
      <c r="AH84" s="601"/>
      <c r="AI84" s="603"/>
      <c r="AJ84" s="104"/>
      <c r="AK84" s="104"/>
      <c r="AL84" s="104"/>
      <c r="AM84" s="104"/>
      <c r="AN84" s="104"/>
      <c r="AO84" s="104"/>
      <c r="AP84" s="104"/>
    </row>
    <row r="85" spans="2:48" ht="15.75" x14ac:dyDescent="0.25">
      <c r="B85" s="147">
        <f>'NonQM (LP)'!B14</f>
        <v>6.25</v>
      </c>
      <c r="C85" s="148">
        <f>'NonQM (LP)'!C14</f>
        <v>98.725500000000011</v>
      </c>
      <c r="D85" s="148">
        <f>'NonQM (LP)'!D14</f>
        <v>98.425500000000028</v>
      </c>
      <c r="E85" s="149"/>
      <c r="F85" s="149"/>
      <c r="G85" s="142" t="e">
        <f>'NonQM (LP)'!V40</f>
        <v>#N/A</v>
      </c>
      <c r="H85" s="143">
        <v>4</v>
      </c>
      <c r="I85" s="150">
        <f t="shared" si="0"/>
        <v>6.25</v>
      </c>
      <c r="J85" s="151" t="e">
        <f t="shared" si="1"/>
        <v>#N/A</v>
      </c>
      <c r="K85" s="151" t="e">
        <f t="shared" si="2"/>
        <v>#N/A</v>
      </c>
      <c r="L85" s="152"/>
      <c r="M85" s="152"/>
      <c r="N85" s="142">
        <v>6.25</v>
      </c>
      <c r="P85" s="368"/>
      <c r="U85" s="601"/>
      <c r="V85" s="601"/>
      <c r="W85" s="601"/>
      <c r="Y85" s="122" t="s">
        <v>627</v>
      </c>
      <c r="Z85" s="601"/>
      <c r="AA85" s="601"/>
      <c r="AG85" s="440" t="s">
        <v>655</v>
      </c>
      <c r="AH85" s="441" t="str">
        <f>IF(AND(
   ISNUMBER(MATCH('NonQM (LP)'!$U$12, $A$9:$A$12, 0)),
   'NonQM (LP)'!$U$22 = $J$6), NA(), "")</f>
        <v/>
      </c>
      <c r="AI85" s="440" t="s">
        <v>656</v>
      </c>
      <c r="AJ85" s="104"/>
      <c r="AK85" s="104"/>
      <c r="AL85" s="104"/>
      <c r="AM85" s="104"/>
      <c r="AN85" s="104"/>
      <c r="AO85" s="104"/>
      <c r="AP85" s="104"/>
    </row>
    <row r="86" spans="2:48" ht="15.75" x14ac:dyDescent="0.25">
      <c r="B86" s="147">
        <f>'NonQM (LP)'!B15</f>
        <v>6.375</v>
      </c>
      <c r="C86" s="148">
        <f>'NonQM (LP)'!C15</f>
        <v>99.225500000000011</v>
      </c>
      <c r="D86" s="148">
        <f>'NonQM (LP)'!D15</f>
        <v>98.925500000000028</v>
      </c>
      <c r="E86" s="149"/>
      <c r="F86" s="149"/>
      <c r="H86" s="143">
        <v>5</v>
      </c>
      <c r="I86" s="150">
        <f t="shared" si="0"/>
        <v>6.375</v>
      </c>
      <c r="J86" s="151" t="e">
        <f t="shared" si="1"/>
        <v>#N/A</v>
      </c>
      <c r="K86" s="151" t="e">
        <f t="shared" si="2"/>
        <v>#N/A</v>
      </c>
      <c r="L86" s="152"/>
      <c r="M86" s="152"/>
      <c r="N86" s="142">
        <v>6.375</v>
      </c>
      <c r="P86" s="368"/>
      <c r="U86" s="92" t="s">
        <v>272</v>
      </c>
      <c r="V86" s="153" t="str">
        <f>IF(AND(
   ISNUMBER(MATCH('NonQM (LP)'!$U$12, $A$3:$A$7, 0)),
   ISNUMBER(MATCH('NonQM (LP)'!$U$11, $B$10:$B$11, 0)),
   ISNUMBER(MATCH('NonQM (LP)'!$U$15, $D$18, 0)),
   ISNUMBER(MATCH('NonQM (LP)'!$U$22, $J$3, 0)),
   ISNUMBER(MATCH('NonQM (LP)'!$U$21, $G$5, 0)),
   'NonQM (LP)'!$U$13 = $C$4
), NA(), "")</f>
        <v/>
      </c>
      <c r="W86" s="92" t="s">
        <v>274</v>
      </c>
      <c r="Y86" s="153" t="s">
        <v>272</v>
      </c>
      <c r="Z86" s="153" t="str">
        <f>IF(AND(
   ISNUMBER(MATCH('NonQM (LP)'!$U$12, $A$3:$A$7, 0)),
   ISNUMBER(MATCH('NonQM (LP)'!$U$11, $B$9:$B$11, 0)),
   ISNUMBER(MATCH('NonQM (LP)'!$U$15, $D$19, 0)),
   ISNUMBER(MATCH('NonQM (LP)'!$U$22, $J$3, 0)),
   ISNUMBER(MATCH('NonQM (LP)'!$U$21, $G$5:$G$7, 0)),
   'NonQM (LP)'!$U$13 = $C$4
), NA(), "")</f>
        <v/>
      </c>
      <c r="AA86" s="153" t="s">
        <v>628</v>
      </c>
      <c r="AG86" s="440" t="s">
        <v>657</v>
      </c>
      <c r="AH86" s="441" t="str">
        <f>IF(AND(
   ISNUMBER(MATCH('NonQM (LP)'!$U$12, $A$9:$A$12, 0)),
   'NonQM (LP)'!$U$22 = $J$4), NA(), "")</f>
        <v/>
      </c>
      <c r="AI86" s="440" t="s">
        <v>658</v>
      </c>
      <c r="AJ86" s="104"/>
      <c r="AK86" s="104"/>
      <c r="AL86" s="104"/>
      <c r="AM86" s="104"/>
      <c r="AN86" s="104"/>
      <c r="AO86" s="104"/>
      <c r="AP86" s="104"/>
    </row>
    <row r="87" spans="2:48" ht="15.75" x14ac:dyDescent="0.25">
      <c r="B87" s="147">
        <f>'NonQM (LP)'!B16</f>
        <v>6.4989999999999997</v>
      </c>
      <c r="C87" s="148">
        <f>'NonQM (LP)'!C16</f>
        <v>99.662500000000023</v>
      </c>
      <c r="D87" s="148">
        <f>'NonQM (LP)'!D16</f>
        <v>99.362500000000026</v>
      </c>
      <c r="E87" s="149"/>
      <c r="F87" s="149"/>
      <c r="H87" s="143">
        <v>6</v>
      </c>
      <c r="I87" s="150">
        <f t="shared" si="0"/>
        <v>6.4989999999999997</v>
      </c>
      <c r="J87" s="151" t="e">
        <f t="shared" si="1"/>
        <v>#N/A</v>
      </c>
      <c r="K87" s="151" t="e">
        <f t="shared" si="2"/>
        <v>#N/A</v>
      </c>
      <c r="L87" s="152"/>
      <c r="M87" s="152"/>
      <c r="N87" s="142">
        <v>6.4989999999999997</v>
      </c>
      <c r="P87" s="368"/>
      <c r="U87" s="92" t="s">
        <v>272</v>
      </c>
      <c r="V87" s="153" t="str">
        <f>IF(AND(
   ISNUMBER(MATCH('NonQM (LP)'!$U$12, $A$8, 0)),
   ISNUMBER(MATCH('NonQM (LP)'!$U$11, $B$9:$B$11, 0)),
   ISNUMBER(MATCH('NonQM (LP)'!$U$15, $D$18, 0)),
   ISNUMBER(MATCH('NonQM (LP)'!$U$22, $J$3, 0)),
   ISNUMBER(MATCH('NonQM (LP)'!$U$21, $G$5, 0)),
   'NonQM (LP)'!$U$13 = $C$4
), NA(), "")</f>
        <v/>
      </c>
      <c r="W87" s="92" t="s">
        <v>629</v>
      </c>
      <c r="Y87" s="92" t="s">
        <v>272</v>
      </c>
      <c r="Z87" s="153" t="str">
        <f>IF(AND(
   ISNUMBER(MATCH('NonQM (LP)'!$U$12, $A$8, 0)),
   ISNUMBER(MATCH('NonQM (LP)'!$U$11, $B$9:$B$11, 0)),
   ISNUMBER(MATCH('NonQM (LP)'!$U$15, $D$18, 0)),
   ISNUMBER(MATCH('NonQM (LP)'!$U$22, $J$3:$J$5, 0)),
   ISNUMBER(MATCH('NonQM (LP)'!$U$21, $G$5:$G$7, 0)),
   'NonQM (LP)'!$U$13 = $C$4
), NA(), "")</f>
        <v/>
      </c>
      <c r="AA87" s="92" t="s">
        <v>285</v>
      </c>
      <c r="AG87" s="440" t="s">
        <v>660</v>
      </c>
      <c r="AH87" s="441" t="str">
        <f>IF(AND(
   ISNUMBER(MATCH('NonQM (LP)'!$U$12, $A$3:$A$8, 0)),
   'NonQM (LP)'!$U$22 = $J$5), NA(), "")</f>
        <v/>
      </c>
      <c r="AI87" s="440" t="s">
        <v>661</v>
      </c>
      <c r="AJ87" s="104"/>
      <c r="AK87" s="104"/>
      <c r="AL87" s="104"/>
      <c r="AM87" s="104"/>
      <c r="AN87" s="104"/>
      <c r="AO87" s="104"/>
      <c r="AP87" s="104"/>
    </row>
    <row r="88" spans="2:48" ht="15.75" x14ac:dyDescent="0.25">
      <c r="B88" s="147">
        <f>'NonQM (LP)'!B17</f>
        <v>6.625</v>
      </c>
      <c r="C88" s="148">
        <f>'NonQM (LP)'!C17</f>
        <v>100.06050000000002</v>
      </c>
      <c r="D88" s="148">
        <f>'NonQM (LP)'!D17</f>
        <v>99.760500000000022</v>
      </c>
      <c r="E88" s="149"/>
      <c r="F88" s="149"/>
      <c r="H88" s="143">
        <v>7</v>
      </c>
      <c r="I88" s="150">
        <f t="shared" si="0"/>
        <v>6.625</v>
      </c>
      <c r="J88" s="151" t="e">
        <f t="shared" si="1"/>
        <v>#N/A</v>
      </c>
      <c r="K88" s="151" t="e">
        <f t="shared" si="2"/>
        <v>#N/A</v>
      </c>
      <c r="L88" s="152"/>
      <c r="M88" s="152"/>
      <c r="N88" s="142">
        <v>6.625</v>
      </c>
      <c r="P88" s="368"/>
      <c r="Y88" s="92" t="s">
        <v>272</v>
      </c>
      <c r="Z88" s="153" t="str">
        <f>IF(AND(
   ISNUMBER(MATCH('NonQM (LP)'!$U$12, $A$9:$A$12, 0)),
   ISNUMBER(MATCH('NonQM (LP)'!$U$11, $B$8:$B$11, 0)),
   ISNUMBER(MATCH('NonQM (LP)'!$U$15, $D$18, 0)),
   ISNUMBER(MATCH('NonQM (LP)'!$U$22, $J$3:$J$5, 0)),
   ISNUMBER(MATCH('NonQM (LP)'!$U$21, $G$5:$G$7, 0)),
   'NonQM (LP)'!$U$13 = $C$4
), NA(), "")</f>
        <v/>
      </c>
      <c r="AA88" s="92" t="s">
        <v>297</v>
      </c>
      <c r="AG88" s="440" t="s">
        <v>663</v>
      </c>
      <c r="AH88" s="441" t="str">
        <f>IF(AND(
   ISNUMBER(MATCH('NonQM (LP)'!$U$12, $A$3:$A$8, 0)),
   'NonQM (LP)'!$U$22 = $J$7), NA(), "")</f>
        <v/>
      </c>
      <c r="AI88" s="440" t="s">
        <v>662</v>
      </c>
      <c r="AJ88" s="104"/>
      <c r="AK88" s="104"/>
      <c r="AL88" s="104"/>
      <c r="AM88" s="104"/>
      <c r="AN88" s="104"/>
      <c r="AO88" s="104"/>
      <c r="AP88" s="104"/>
    </row>
    <row r="89" spans="2:48" ht="15.75" x14ac:dyDescent="0.25">
      <c r="B89" s="147">
        <f>'NonQM (LP)'!B18</f>
        <v>6.75</v>
      </c>
      <c r="C89" s="148">
        <f>'NonQM (LP)'!C18</f>
        <v>100.45150000000002</v>
      </c>
      <c r="D89" s="148">
        <f>'NonQM (LP)'!D18</f>
        <v>100.15150000000003</v>
      </c>
      <c r="E89" s="149"/>
      <c r="F89" s="149"/>
      <c r="G89" s="92" t="str">
        <f>'NonQM (LP)'!U17</f>
        <v>Choose a Selection</v>
      </c>
      <c r="H89" s="143">
        <v>8</v>
      </c>
      <c r="I89" s="150">
        <f t="shared" si="0"/>
        <v>6.75</v>
      </c>
      <c r="J89" s="151" t="e">
        <f t="shared" si="1"/>
        <v>#N/A</v>
      </c>
      <c r="K89" s="151" t="e">
        <f t="shared" si="2"/>
        <v>#N/A</v>
      </c>
      <c r="L89" s="152"/>
      <c r="M89" s="152"/>
      <c r="N89" s="142">
        <v>6.75</v>
      </c>
      <c r="P89" s="368"/>
      <c r="U89" s="92" t="s">
        <v>272</v>
      </c>
      <c r="V89" s="153" t="str">
        <f>IF(AND(
   ISNUMBER(MATCH('NonQM (LP)'!$U$12, $A$3:$A$7, 0)),
   ISNUMBER(MATCH('NonQM (LP)'!$U$11, $B$9:$B$11, 0)),
   ISNUMBER(MATCH('NonQM (LP)'!$U$15, $D$19, 0)),
   ISNUMBER(MATCH('NonQM (LP)'!$U$22, $J$3, 0)),
   ISNUMBER(MATCH('NonQM (LP)'!$U$21, $G$5, 0)),
   'NonQM (LP)'!$U$13 = $C$4
), NA(), "")</f>
        <v/>
      </c>
      <c r="W89" s="92" t="s">
        <v>628</v>
      </c>
      <c r="Y89" s="92" t="s">
        <v>272</v>
      </c>
      <c r="Z89" s="153" t="str">
        <f>IF(AND(
   ISNUMBER(MATCH('NonQM (LP)'!$U$12, $A$3:$A$7, 0)),
   ISNUMBER(MATCH('NonQM (LP)'!$U$11, $B$10:$B$11, 0)),
   ISNUMBER(MATCH('NonQM (LP)'!$U$15, $D$18, 0)),
   ISNUMBER(MATCH('NonQM (LP)'!$U$22, $J$3, 0)),
   ISNUMBER(MATCH('NonQM (LP)'!$U$21, $G$10:$G$13, 0)),
   'NonQM (LP)'!$U$13 = $C$4
), NA(), "")</f>
        <v/>
      </c>
      <c r="AA89" s="92" t="s">
        <v>305</v>
      </c>
      <c r="AG89" s="440" t="s">
        <v>737</v>
      </c>
      <c r="AH89" s="441" t="str">
        <f>IF(AND(
   ISNUMBER(MATCH('NonQM (LP)'!$U$12, $A$9:$A$12, 0)),
   'NonQM (LP)'!$U$18 = $E$9
), NA(), "")</f>
        <v/>
      </c>
      <c r="AI89" s="440" t="s">
        <v>738</v>
      </c>
      <c r="AJ89" s="104"/>
      <c r="AK89" s="104"/>
      <c r="AL89" s="104"/>
      <c r="AM89" s="104"/>
      <c r="AN89" s="104"/>
      <c r="AO89" s="104"/>
      <c r="AP89" s="104"/>
    </row>
    <row r="90" spans="2:48" ht="15.75" x14ac:dyDescent="0.25">
      <c r="B90" s="147">
        <f>'NonQM (LP)'!B19</f>
        <v>6.875</v>
      </c>
      <c r="C90" s="148">
        <f>'NonQM (LP)'!C19</f>
        <v>100.83450000000002</v>
      </c>
      <c r="D90" s="148">
        <f>'NonQM (LP)'!D19</f>
        <v>100.53450000000002</v>
      </c>
      <c r="E90" s="149"/>
      <c r="F90" s="149"/>
      <c r="G90" s="92" t="e">
        <f>#REF!</f>
        <v>#REF!</v>
      </c>
      <c r="H90" s="143">
        <v>9</v>
      </c>
      <c r="I90" s="150">
        <f t="shared" si="0"/>
        <v>6.875</v>
      </c>
      <c r="J90" s="151" t="e">
        <f t="shared" si="1"/>
        <v>#N/A</v>
      </c>
      <c r="K90" s="151" t="e">
        <f t="shared" si="2"/>
        <v>#N/A</v>
      </c>
      <c r="L90" s="152"/>
      <c r="M90" s="152"/>
      <c r="N90" s="142">
        <v>6.875</v>
      </c>
      <c r="P90" s="368"/>
      <c r="U90" s="92" t="s">
        <v>272</v>
      </c>
      <c r="V90" s="153" t="str">
        <f>IF(AND(
   ISNUMBER(MATCH('NonQM (LP)'!$U$12, $A$8, 0)),
   ISNUMBER(MATCH('NonQM (LP)'!$U$11, $B$8:$B$11, 0)),
   ISNUMBER(MATCH('NonQM (LP)'!$U$15, $D$19, 0)),
   ISNUMBER(MATCH('NonQM (LP)'!$U$22, $J$3, 0)),
   ISNUMBER(MATCH('NonQM (LP)'!$U$21, $G$5, 0)),
   'NonQM (LP)'!$U$13 = $C$4
), NA(), "")</f>
        <v/>
      </c>
      <c r="W90" s="92" t="s">
        <v>630</v>
      </c>
      <c r="Y90" s="92" t="s">
        <v>272</v>
      </c>
      <c r="Z90" s="153" t="str">
        <f>IF(AND(
   ISNUMBER(MATCH('NonQM (LP)'!$U$12, $A$8, 0)),
   ISNUMBER(MATCH('NonQM (LP)'!$U$11, $B$9:$B$11, 0)),
   ISNUMBER(MATCH('NonQM (LP)'!$U$15, $D$16, 0)),
   ISNUMBER(MATCH('NonQM (LP)'!$U$22, $J$3, 0)),
   ISNUMBER(MATCH('NonQM (LP)'!$U$21, $G$10:$G$13, 0)),
   'NonQM (LP)'!$U$13 = $C$4
), NA(), "")</f>
        <v/>
      </c>
      <c r="AA90" s="92" t="s">
        <v>312</v>
      </c>
      <c r="AG90" s="440" t="s">
        <v>737</v>
      </c>
      <c r="AH90" s="441" t="str">
        <f>IF(AND(
   ISNUMBER(MATCH('NonQM (LP)'!$U$12, $A$3:$A$12, 0)),
   ISNUMBER(MATCH('NonQM (LP)'!$U$23, $L$4:$L$6, 0)),
   'NonQM (LP)'!$U$18 = $E$9
), NA(), "")</f>
        <v/>
      </c>
      <c r="AI90" s="440" t="s">
        <v>739</v>
      </c>
      <c r="AJ90" s="104"/>
      <c r="AK90" s="104"/>
      <c r="AL90" s="104"/>
      <c r="AM90" s="104"/>
      <c r="AN90" s="104"/>
      <c r="AO90" s="104"/>
      <c r="AP90" s="104"/>
    </row>
    <row r="91" spans="2:48" ht="15.75" x14ac:dyDescent="0.25">
      <c r="B91" s="147">
        <f>'NonQM (LP)'!B20</f>
        <v>6.9989999999999997</v>
      </c>
      <c r="C91" s="148">
        <f>'NonQM (LP)'!C20</f>
        <v>101.20950000000002</v>
      </c>
      <c r="D91" s="148">
        <f>'NonQM (LP)'!D20</f>
        <v>100.90950000000002</v>
      </c>
      <c r="E91" s="149"/>
      <c r="F91" s="149"/>
      <c r="G91" s="92" t="e">
        <f>IF(#REF!="DSCR 5-8", "DSCR 5-8", "")</f>
        <v>#REF!</v>
      </c>
      <c r="H91" s="143">
        <v>10</v>
      </c>
      <c r="I91" s="150">
        <f t="shared" si="0"/>
        <v>6.9989999999999997</v>
      </c>
      <c r="J91" s="151" t="e">
        <f t="shared" si="1"/>
        <v>#N/A</v>
      </c>
      <c r="K91" s="151" t="e">
        <f t="shared" si="2"/>
        <v>#N/A</v>
      </c>
      <c r="L91" s="152"/>
      <c r="M91" s="152"/>
      <c r="N91" s="142">
        <v>6.9989999999999997</v>
      </c>
      <c r="P91" s="368"/>
      <c r="U91" s="92" t="s">
        <v>272</v>
      </c>
      <c r="V91" s="153" t="str">
        <f>IF(AND(
   ISNUMBER(MATCH('NonQM (LP)'!$U$12, $A$9:$A$12, 0)),
   ISNUMBER(MATCH('NonQM (LP)'!$U$11, $B$7:$B$11, 0)),
   ISNUMBER(MATCH('NonQM (LP)'!$U$15, $D$19, 0)),
   ISNUMBER(MATCH('NonQM (LP)'!$U$22, $J$3, 0)),
   ISNUMBER(MATCH('NonQM (LP)'!$U$21, $G$5, 0)),
   'NonQM (LP)'!$U$13 = $C$4
), NA(), "")</f>
        <v/>
      </c>
      <c r="W91" s="92" t="s">
        <v>631</v>
      </c>
      <c r="Y91" s="92" t="s">
        <v>272</v>
      </c>
      <c r="Z91" s="153" t="str">
        <f>IF(AND(
   ISNUMBER(MATCH('NonQM (LP)'!$U$12, $A$9:$A$12, 0)),
   ISNUMBER(MATCH('NonQM (LP)'!$U$11, $B$8:$B$11, 0)),
   ISNUMBER(MATCH('NonQM (LP)'!$U$15, $D$16, 0)),
   ISNUMBER(MATCH('NonQM (LP)'!$U$22, $J$3, 0)),
   ISNUMBER(MATCH('NonQM (LP)'!$U$21, $G$10:$G$13, 0)),
   'NonQM (LP)'!$U$13 = $C$4
), NA(), "")</f>
        <v/>
      </c>
      <c r="AA91" s="92" t="s">
        <v>317</v>
      </c>
      <c r="AG91" s="440" t="s">
        <v>737</v>
      </c>
      <c r="AH91" s="441" t="s">
        <v>227</v>
      </c>
      <c r="AI91" s="440" t="s">
        <v>740</v>
      </c>
      <c r="AJ91" s="104"/>
      <c r="AK91" s="104"/>
      <c r="AL91" s="104"/>
      <c r="AM91" s="104"/>
      <c r="AN91" s="104"/>
      <c r="AO91" s="104"/>
      <c r="AP91" s="104"/>
    </row>
    <row r="92" spans="2:48" ht="15.75" x14ac:dyDescent="0.25">
      <c r="B92" s="147">
        <f>'NonQM (LP)'!B21</f>
        <v>7.125</v>
      </c>
      <c r="C92" s="148">
        <f>'NonQM (LP)'!C21</f>
        <v>101.57650000000002</v>
      </c>
      <c r="D92" s="148">
        <f>'NonQM (LP)'!D21</f>
        <v>101.27650000000003</v>
      </c>
      <c r="E92" s="149"/>
      <c r="F92" s="149"/>
      <c r="H92" s="143">
        <v>11</v>
      </c>
      <c r="I92" s="150">
        <f t="shared" si="0"/>
        <v>7.125</v>
      </c>
      <c r="J92" s="151" t="e">
        <f t="shared" si="1"/>
        <v>#N/A</v>
      </c>
      <c r="K92" s="151" t="e">
        <f t="shared" si="2"/>
        <v>#N/A</v>
      </c>
      <c r="L92" s="152"/>
      <c r="M92" s="152"/>
      <c r="N92" s="142">
        <v>7.125</v>
      </c>
      <c r="P92" s="368"/>
      <c r="Y92" s="92" t="s">
        <v>272</v>
      </c>
      <c r="Z92" s="153" t="str">
        <f>IF(AND(
   ISNUMBER(MATCH('NonQM (LP)'!$U$12, $A$3:$A$8, 0)),
   ISNUMBER(MATCH('NonQM (LP)'!$U$11, $B$10:$B$11, 0)),
   ISNUMBER(MATCH('NonQM (LP)'!$U$15, $D$16, 0)),
   ISNUMBER(MATCH('NonQM (LP)'!$U$22, $J$4:$J$5, 0)),
   ISNUMBER(MATCH('NonQM (LP)'!$U$21, $G$5:$G$7, 0)),
   'NonQM (LP)'!$U$13 = $C$4
), NA(), "")</f>
        <v/>
      </c>
      <c r="AA92" s="92" t="s">
        <v>325</v>
      </c>
      <c r="AG92" s="442"/>
      <c r="AH92" s="442"/>
      <c r="AI92" s="442"/>
      <c r="AM92" s="104"/>
      <c r="AN92" s="104"/>
      <c r="AO92" s="104"/>
      <c r="AP92" s="104"/>
      <c r="AQ92" s="104"/>
      <c r="AR92" s="104"/>
      <c r="AS92" s="104"/>
      <c r="AT92" s="104"/>
      <c r="AU92" s="104"/>
      <c r="AV92" s="104"/>
    </row>
    <row r="93" spans="2:48" ht="15.75" x14ac:dyDescent="0.25">
      <c r="B93" s="147">
        <f>'NonQM (LP)'!B22</f>
        <v>7.25</v>
      </c>
      <c r="C93" s="148">
        <f>'NonQM (LP)'!C22</f>
        <v>101.93550000000002</v>
      </c>
      <c r="D93" s="148">
        <f>'NonQM (LP)'!D22</f>
        <v>101.63550000000002</v>
      </c>
      <c r="E93" s="149"/>
      <c r="F93" s="149"/>
      <c r="H93" s="143">
        <v>12</v>
      </c>
      <c r="I93" s="150">
        <f t="shared" si="0"/>
        <v>7.25</v>
      </c>
      <c r="J93" s="151" t="e">
        <f t="shared" si="1"/>
        <v>#N/A</v>
      </c>
      <c r="K93" s="151" t="e">
        <f t="shared" si="2"/>
        <v>#N/A</v>
      </c>
      <c r="L93" s="152"/>
      <c r="M93" s="152"/>
      <c r="N93" s="142">
        <v>7.25</v>
      </c>
      <c r="Y93" s="92" t="s">
        <v>272</v>
      </c>
      <c r="Z93" s="153" t="str">
        <f>IF(AND(
   ISNUMBER(MATCH('NonQM (LP)'!$U$12, $A$9:$A$12, 0)),
   ISNUMBER(MATCH('NonQM (LP)'!$U$11, $B$9:$B$11, 0)),
   ISNUMBER(MATCH('NonQM (LP)'!$U$15, $D$16, 0)),
   ISNUMBER(MATCH('NonQM (LP)'!$U$22, $J$4:$J$5, 0)),
   ISNUMBER(MATCH('NonQM (LP)'!$U$21, $G$5, 0)),
   'NonQM (LP)'!$U$13 = $C$4
), NA(), "")</f>
        <v/>
      </c>
      <c r="AA93" s="92" t="s">
        <v>296</v>
      </c>
      <c r="AG93" s="442"/>
      <c r="AH93" s="442"/>
      <c r="AI93" s="442"/>
      <c r="AM93" s="104"/>
      <c r="AN93" s="104"/>
      <c r="AO93" s="104"/>
      <c r="AP93" s="104"/>
      <c r="AQ93" s="104"/>
      <c r="AR93" s="104"/>
      <c r="AS93" s="104"/>
      <c r="AT93" s="104"/>
      <c r="AU93" s="104"/>
      <c r="AV93" s="104"/>
    </row>
    <row r="94" spans="2:48" ht="15.75" x14ac:dyDescent="0.25">
      <c r="B94" s="147">
        <f>'NonQM (LP)'!B23</f>
        <v>7.375</v>
      </c>
      <c r="C94" s="148">
        <f>'NonQM (LP)'!C23</f>
        <v>102.28750000000002</v>
      </c>
      <c r="D94" s="148">
        <f>'NonQM (LP)'!D23</f>
        <v>101.98750000000003</v>
      </c>
      <c r="E94" s="149"/>
      <c r="F94" s="149"/>
      <c r="G94" s="142" t="e">
        <f>SUM(#REF!)+B67</f>
        <v>#REF!</v>
      </c>
      <c r="H94" s="143">
        <v>13</v>
      </c>
      <c r="I94" s="150">
        <f t="shared" si="0"/>
        <v>7.375</v>
      </c>
      <c r="J94" s="151" t="e">
        <f t="shared" si="1"/>
        <v>#N/A</v>
      </c>
      <c r="K94" s="151" t="e">
        <f t="shared" si="2"/>
        <v>#N/A</v>
      </c>
      <c r="L94" s="152"/>
      <c r="M94" s="152"/>
      <c r="N94" s="142">
        <v>7.375</v>
      </c>
      <c r="Y94" s="92" t="s">
        <v>272</v>
      </c>
      <c r="Z94" s="153" t="str">
        <f>IF(AND(
   ISNUMBER(MATCH('NonQM (LP)'!$U$12, $A$9:$A$12, 0)),
   ISNUMBER(MATCH('NonQM (LP)'!$U$11, $B$8:$B$11, 0)),
   ISNUMBER(MATCH('NonQM (LP)'!$U$15, $D$16, 0)),
   ISNUMBER(MATCH('NonQM (LP)'!$U$22, $J$6:$J$7, 0)),
   ISNUMBER(MATCH('NonQM (LP)'!$U$21, $G$5, 0)),
   'NonQM (LP)'!$U$13 = $C$4
), NA(), "")</f>
        <v/>
      </c>
      <c r="AA94" s="92" t="s">
        <v>339</v>
      </c>
      <c r="AG94" s="442"/>
      <c r="AH94" s="442"/>
      <c r="AI94" s="442"/>
      <c r="AM94" s="104"/>
      <c r="AN94" s="104"/>
      <c r="AO94" s="104"/>
      <c r="AP94" s="104"/>
      <c r="AQ94" s="104"/>
      <c r="AR94" s="104"/>
      <c r="AS94" s="104"/>
    </row>
    <row r="95" spans="2:48" ht="15.75" x14ac:dyDescent="0.25">
      <c r="B95" s="147">
        <f>'NonQM (LP)'!B24</f>
        <v>7.4989999999999997</v>
      </c>
      <c r="C95" s="148">
        <f>'NonQM (LP)'!C24</f>
        <v>102.63150000000002</v>
      </c>
      <c r="D95" s="148">
        <f>'NonQM (LP)'!D24</f>
        <v>102.33150000000002</v>
      </c>
      <c r="E95" s="149"/>
      <c r="F95" s="149"/>
      <c r="H95" s="143">
        <v>14</v>
      </c>
      <c r="I95" s="150">
        <f t="shared" si="0"/>
        <v>7.4989999999999997</v>
      </c>
      <c r="J95" s="151" t="e">
        <f t="shared" si="1"/>
        <v>#N/A</v>
      </c>
      <c r="K95" s="151" t="e">
        <f t="shared" si="2"/>
        <v>#N/A</v>
      </c>
      <c r="L95" s="152"/>
      <c r="M95" s="152"/>
      <c r="N95" s="142">
        <v>7.4989999999999997</v>
      </c>
      <c r="Y95" s="92" t="s">
        <v>272</v>
      </c>
      <c r="Z95" s="154" t="str">
        <f>IF(AND(
   ISNUMBER(MATCH('NonQM (LP)'!$U$12, $A$11:$A$12, 0)),
   ISNUMBER(MATCH('NonQM (LP)'!$U$11, $B$7:$B$11, 0)),
   ISNUMBER(MATCH('NonQM (LP)'!$U$15, $D$16, 0)),
   ISNUMBER(MATCH('NonQM (LP)'!$U$22, $J$6:$J$7, 0)),
   ISNUMBER(MATCH('NonQM (LP)'!$U$21, $G$7, 0)),
   'NonQM (LP)'!$U$13 = $C$4
), NA(), "")</f>
        <v/>
      </c>
      <c r="AA95" s="92" t="s">
        <v>346</v>
      </c>
      <c r="AG95" s="442"/>
      <c r="AH95" s="442"/>
      <c r="AI95" s="442"/>
      <c r="AM95" s="104"/>
      <c r="AN95" s="104"/>
      <c r="AO95" s="104"/>
      <c r="AP95" s="104"/>
      <c r="AQ95" s="104"/>
      <c r="AR95" s="104"/>
      <c r="AS95" s="104"/>
    </row>
    <row r="96" spans="2:48" ht="15.75" x14ac:dyDescent="0.25">
      <c r="B96" s="147">
        <f>'NonQM (LP)'!B25</f>
        <v>7.625</v>
      </c>
      <c r="C96" s="148">
        <f>'NonQM (LP)'!C25</f>
        <v>102.96750000000003</v>
      </c>
      <c r="D96" s="148">
        <f>'NonQM (LP)'!D25</f>
        <v>102.66750000000003</v>
      </c>
      <c r="E96" s="149"/>
      <c r="F96" s="149"/>
      <c r="H96" s="143">
        <v>15</v>
      </c>
      <c r="I96" s="150">
        <f t="shared" si="0"/>
        <v>7.625</v>
      </c>
      <c r="J96" s="151" t="e">
        <f t="shared" si="1"/>
        <v>#N/A</v>
      </c>
      <c r="K96" s="151" t="e">
        <f t="shared" si="2"/>
        <v>#N/A</v>
      </c>
      <c r="L96" s="152"/>
      <c r="M96" s="152"/>
      <c r="N96" s="142">
        <v>7.625</v>
      </c>
      <c r="Y96" s="92" t="s">
        <v>272</v>
      </c>
      <c r="Z96" s="153" t="str">
        <f>IF(AND(
   ISNUMBER(MATCH('NonQM (LP)'!$U$12, $A$9:$A$12, 0)),
   ISNUMBER(MATCH('NonQM (LP)'!$U$11, $B$8:$B$11, 0)),
   ISNUMBER(MATCH('NonQM (LP)'!$U$15, $D$18, 0)),
   ISNUMBER(MATCH('NonQM (LP)'!$U$22, $J$3:$J$5, 0)),
   ISNUMBER(MATCH('NonQM (LP)'!$U$21, $G$5, 0)),
   'NonQM (LP)'!$U$13 = $C$4
), NA(), "")</f>
        <v/>
      </c>
      <c r="AA96" s="92" t="s">
        <v>352</v>
      </c>
      <c r="AG96" s="442"/>
      <c r="AH96" s="442"/>
      <c r="AI96" s="442"/>
      <c r="AK96"/>
      <c r="AL96"/>
      <c r="AM96"/>
      <c r="AN96"/>
      <c r="AO96"/>
      <c r="AP96"/>
      <c r="AQ96"/>
      <c r="AR96"/>
      <c r="AS96"/>
      <c r="AT96"/>
      <c r="AU96"/>
      <c r="AV96"/>
    </row>
    <row r="97" spans="2:48" ht="15.75" x14ac:dyDescent="0.25">
      <c r="B97" s="147">
        <f>'NonQM (LP)'!B26</f>
        <v>7.75</v>
      </c>
      <c r="C97" s="148">
        <f>'NonQM (LP)'!C26</f>
        <v>103.29550000000002</v>
      </c>
      <c r="D97" s="148">
        <f>'NonQM (LP)'!D26</f>
        <v>102.99550000000002</v>
      </c>
      <c r="E97" s="149"/>
      <c r="F97" s="149"/>
      <c r="G97" s="142"/>
      <c r="H97" s="143">
        <v>16</v>
      </c>
      <c r="I97" s="150">
        <f t="shared" si="0"/>
        <v>7.75</v>
      </c>
      <c r="J97" s="151" t="e">
        <f t="shared" si="1"/>
        <v>#N/A</v>
      </c>
      <c r="K97" s="151" t="e">
        <f t="shared" si="2"/>
        <v>#N/A</v>
      </c>
      <c r="L97" s="152"/>
      <c r="M97" s="152"/>
      <c r="N97" s="142">
        <v>7.75</v>
      </c>
      <c r="Y97" s="92" t="s">
        <v>272</v>
      </c>
      <c r="Z97" s="154" t="str">
        <f>IF(AND(
   ISNUMBER(MATCH('NonQM (LP)'!$U$12, $A$9:$A$12, 0)),
   ISNUMBER(MATCH('NonQM (LP)'!$U$11, $B$7:$B$11, 0)),
   ISNUMBER(MATCH('NonQM (LP)'!$U$15, $D$18, 0)),
   ISNUMBER(MATCH('NonQM (LP)'!$U$22, $J$6:$J$7, 0)),
   ISNUMBER(MATCH('NonQM (LP)'!$U$21, $G$5, 0)),
   'NonQM (LP)'!$U$13 = $C$4
), NA(), "")</f>
        <v/>
      </c>
      <c r="AA97" s="92" t="s">
        <v>360</v>
      </c>
      <c r="AG97" s="442"/>
      <c r="AH97" s="442"/>
      <c r="AI97" s="442"/>
      <c r="AK97"/>
      <c r="AL97"/>
      <c r="AM97"/>
      <c r="AN97"/>
      <c r="AO97"/>
      <c r="AP97"/>
      <c r="AQ97"/>
      <c r="AR97"/>
      <c r="AS97"/>
      <c r="AT97"/>
      <c r="AU97"/>
      <c r="AV97"/>
    </row>
    <row r="98" spans="2:48" ht="15.75" x14ac:dyDescent="0.25">
      <c r="B98" s="147">
        <f>'NonQM (LP)'!B27</f>
        <v>7.875</v>
      </c>
      <c r="C98" s="148">
        <f>'NonQM (LP)'!C27</f>
        <v>103.61550000000003</v>
      </c>
      <c r="D98" s="148">
        <f>'NonQM (LP)'!D27</f>
        <v>103.31550000000003</v>
      </c>
      <c r="E98" s="149"/>
      <c r="F98" s="149"/>
      <c r="G98" s="142"/>
      <c r="H98" s="143">
        <v>17</v>
      </c>
      <c r="I98" s="150">
        <f t="shared" si="0"/>
        <v>7.875</v>
      </c>
      <c r="J98" s="151" t="e">
        <f t="shared" si="1"/>
        <v>#N/A</v>
      </c>
      <c r="K98" s="151" t="e">
        <f t="shared" si="2"/>
        <v>#N/A</v>
      </c>
      <c r="L98" s="152"/>
      <c r="M98" s="152"/>
      <c r="N98" s="142">
        <v>7.875</v>
      </c>
      <c r="Y98" s="153" t="s">
        <v>272</v>
      </c>
      <c r="Z98" s="154" t="str">
        <f>IF(AND(
   ISNUMBER(MATCH('NonQM (LP)'!$U$12, $A$3:$A$8, 0)),
   ISNUMBER(MATCH('NonQM (LP)'!$U$11, $B$7:$B$11, 0)),
   ISNUMBER(MATCH('NonQM (LP)'!$U$15, $D$19, 0)),
   ISNUMBER(MATCH('NonQM (LP)'!$U$22, $J$6:$J$7, 0)),
   ISNUMBER(MATCH('NonQM (LP)'!$U$21, $G$5:$G$7, 0)),
   'NonQM (LP)'!$U$13 = $C$4
), NA(), "")</f>
        <v/>
      </c>
      <c r="AA98" s="153" t="s">
        <v>632</v>
      </c>
      <c r="AG98" s="442"/>
      <c r="AH98" s="442"/>
      <c r="AI98" s="442"/>
      <c r="AK98"/>
      <c r="AL98"/>
      <c r="AM98"/>
      <c r="AN98"/>
      <c r="AO98"/>
      <c r="AP98"/>
      <c r="AQ98"/>
      <c r="AR98"/>
      <c r="AS98"/>
      <c r="AT98"/>
      <c r="AU98"/>
      <c r="AV98"/>
    </row>
    <row r="99" spans="2:48" ht="15.75" x14ac:dyDescent="0.25">
      <c r="B99" s="147">
        <f>'NonQM (LP)'!B28</f>
        <v>7.9989999999999997</v>
      </c>
      <c r="C99" s="148">
        <f>'NonQM (LP)'!C28</f>
        <v>103.89650000000002</v>
      </c>
      <c r="D99" s="148">
        <f>'NonQM (LP)'!D28</f>
        <v>103.59650000000002</v>
      </c>
      <c r="E99" s="149"/>
      <c r="F99" s="149"/>
      <c r="H99" s="143">
        <v>18</v>
      </c>
      <c r="I99" s="155">
        <f t="shared" si="0"/>
        <v>7.9989999999999997</v>
      </c>
      <c r="J99" s="156" t="e">
        <f t="shared" si="1"/>
        <v>#N/A</v>
      </c>
      <c r="K99" s="156" t="e">
        <f t="shared" si="2"/>
        <v>#N/A</v>
      </c>
      <c r="L99" s="157"/>
      <c r="M99" s="157"/>
      <c r="N99" s="142">
        <v>7.9989999999999997</v>
      </c>
      <c r="Y99" s="92" t="s">
        <v>272</v>
      </c>
      <c r="Z99" s="154" t="str">
        <f>IF(AND(
   ISNUMBER(MATCH('NonQM (LP)'!$U$12, $A$3:$A$7, 0)),
   ISNUMBER(MATCH('NonQM (LP)'!$U$11, $B$8:$B$11, 0)),
   ISNUMBER(MATCH('NonQM (LP)'!$U$15, $D$18, 0)),
   ISNUMBER(MATCH('NonQM (LP)'!$U$22, $J$6:$J$7, 0)),
   ISNUMBER(MATCH('NonQM (LP)'!$U$21, $G$7, 0)),
   'NonQM (LP)'!$U$13 = $C$4
), NA(), "")</f>
        <v/>
      </c>
      <c r="AA99" s="92" t="s">
        <v>383</v>
      </c>
      <c r="AG99" s="442"/>
      <c r="AH99" s="442"/>
      <c r="AI99" s="442"/>
      <c r="AK99"/>
      <c r="AL99"/>
      <c r="AM99"/>
      <c r="AN99"/>
      <c r="AO99"/>
      <c r="AP99"/>
      <c r="AQ99"/>
      <c r="AR99"/>
      <c r="AS99"/>
      <c r="AT99"/>
      <c r="AU99"/>
      <c r="AV99"/>
    </row>
    <row r="100" spans="2:48" ht="15.75" x14ac:dyDescent="0.25">
      <c r="B100" s="147">
        <f>'NonQM (LP)'!B29</f>
        <v>8.125</v>
      </c>
      <c r="C100" s="148">
        <f>'NonQM (LP)'!C29</f>
        <v>104.14650000000002</v>
      </c>
      <c r="D100" s="148">
        <f>'NonQM (LP)'!D29</f>
        <v>103.84650000000002</v>
      </c>
      <c r="E100" s="149"/>
      <c r="F100" s="149"/>
      <c r="H100" s="143">
        <v>19</v>
      </c>
      <c r="I100" s="155">
        <f t="shared" si="0"/>
        <v>8.125</v>
      </c>
      <c r="J100" s="156" t="e">
        <f t="shared" si="1"/>
        <v>#N/A</v>
      </c>
      <c r="K100" s="156" t="e">
        <f t="shared" si="2"/>
        <v>#N/A</v>
      </c>
      <c r="L100" s="157"/>
      <c r="M100" s="157"/>
      <c r="N100" s="142">
        <v>8.125</v>
      </c>
      <c r="Y100" s="92" t="s">
        <v>272</v>
      </c>
      <c r="Z100" s="154" t="str">
        <f>IF(AND(
   ISNUMBER(MATCH('NonQM (LP)'!$U$12, $A$9:$A$10, 0)),
   ISNUMBER(MATCH('NonQM (LP)'!$U$11, $B$7:$B$11, 0)),
   ISNUMBER(MATCH('NonQM (LP)'!$U$15, $D$18, 0)),
   ISNUMBER(MATCH('NonQM (LP)'!$U$22, $J$6:$J$7, 0)),
   ISNUMBER(MATCH('NonQM (LP)'!$U$21, $G$7, 0)),
   'NonQM (LP)'!$U$13 = $C$4
), NA(), "")</f>
        <v/>
      </c>
      <c r="AA100" s="92" t="s">
        <v>393</v>
      </c>
      <c r="AG100" s="442"/>
      <c r="AH100" s="442"/>
      <c r="AI100" s="442"/>
      <c r="AK100"/>
      <c r="AL100"/>
      <c r="AM100"/>
      <c r="AN100"/>
      <c r="AO100"/>
      <c r="AP100"/>
      <c r="AQ100"/>
      <c r="AR100"/>
      <c r="AS100"/>
      <c r="AT100"/>
      <c r="AU100"/>
      <c r="AV100"/>
    </row>
    <row r="101" spans="2:48" ht="15.75" x14ac:dyDescent="0.25">
      <c r="B101" s="147">
        <f>'NonQM (LP)'!B30</f>
        <v>8.25</v>
      </c>
      <c r="C101" s="148">
        <f>'NonQM (LP)'!C30</f>
        <v>104.39650000000002</v>
      </c>
      <c r="D101" s="148">
        <f>'NonQM (LP)'!D30</f>
        <v>104.09650000000002</v>
      </c>
      <c r="E101" s="149"/>
      <c r="F101" s="149"/>
      <c r="H101" s="143">
        <v>20</v>
      </c>
      <c r="I101" s="150">
        <f t="shared" si="0"/>
        <v>8.25</v>
      </c>
      <c r="J101" s="151" t="e">
        <f t="shared" si="1"/>
        <v>#N/A</v>
      </c>
      <c r="K101" s="151" t="e">
        <f t="shared" si="2"/>
        <v>#N/A</v>
      </c>
      <c r="L101" s="152"/>
      <c r="M101" s="152"/>
      <c r="N101" s="142">
        <v>8.25</v>
      </c>
      <c r="Y101" s="92" t="s">
        <v>272</v>
      </c>
      <c r="Z101" s="154" t="str">
        <f>IF(AND(
   ISNUMBER(MATCH('NonQM (LP)'!$U$12, $A$11:$A$12, 0)),
   ISNUMBER(MATCH('NonQM (LP)'!$U$11, $B$7:$B$11, 0)),
   ISNUMBER(MATCH('NonQM (LP)'!$U$15, $D$18, 0)),
   ISNUMBER(MATCH('NonQM (LP)'!$U$22, $J$3:$J$5, 0)),
   ISNUMBER(MATCH('NonQM (LP)'!$U$21, $G$7, 0)),
   'NonQM (LP)'!$U$13 = $C$4
), NA(), "")</f>
        <v/>
      </c>
      <c r="AA101" s="92" t="s">
        <v>404</v>
      </c>
      <c r="AG101" s="442"/>
      <c r="AH101" s="442"/>
      <c r="AI101" s="442"/>
      <c r="AK101"/>
      <c r="AL101"/>
      <c r="AM101"/>
      <c r="AN101"/>
      <c r="AO101"/>
      <c r="AP101"/>
      <c r="AQ101"/>
      <c r="AR101"/>
      <c r="AS101"/>
      <c r="AT101"/>
      <c r="AU101"/>
      <c r="AV101"/>
    </row>
    <row r="102" spans="2:48" ht="15.75" x14ac:dyDescent="0.25">
      <c r="B102" s="147">
        <f>'NonQM (LP)'!B31</f>
        <v>8.375</v>
      </c>
      <c r="C102" s="148">
        <f>'NonQM (LP)'!C31</f>
        <v>104.64650000000002</v>
      </c>
      <c r="D102" s="148">
        <f>'NonQM (LP)'!D31</f>
        <v>104.34650000000002</v>
      </c>
      <c r="E102" s="149"/>
      <c r="F102" s="149"/>
      <c r="H102" s="143">
        <v>21</v>
      </c>
      <c r="I102" s="150">
        <f t="shared" si="0"/>
        <v>8.375</v>
      </c>
      <c r="J102" s="151" t="e">
        <f t="shared" si="1"/>
        <v>#N/A</v>
      </c>
      <c r="K102" s="151" t="e">
        <f t="shared" si="2"/>
        <v>#N/A</v>
      </c>
      <c r="L102" s="152"/>
      <c r="M102" s="152"/>
      <c r="N102" s="142">
        <v>8.375</v>
      </c>
      <c r="Y102" s="92" t="s">
        <v>272</v>
      </c>
      <c r="Z102" s="154" t="str">
        <f>IF(AND(
   ISNUMBER(MATCH('NonQM (LP)'!$U$12, $A$3:$A$5, 0)),
   ISNUMBER(MATCH('NonQM (LP)'!$U$11, $B$9:$B$11, 0)),
   ISNUMBER(MATCH('NonQM (LP)'!$U$15, $D$18, 0)),
   ISNUMBER(MATCH('NonQM (LP)'!$U$22, $J$3:$J$5, 0)),
   ISNUMBER(MATCH('NonQM (LP)'!$U$21, $G$8, 0)),
   'NonQM (LP)'!$U$13 = $C$4
), NA(), "")</f>
        <v/>
      </c>
      <c r="AA102" s="92" t="s">
        <v>414</v>
      </c>
      <c r="AG102" s="442"/>
      <c r="AH102" s="442"/>
      <c r="AI102" s="442"/>
      <c r="AK102"/>
      <c r="AL102"/>
      <c r="AM102"/>
      <c r="AN102"/>
      <c r="AO102"/>
      <c r="AP102"/>
      <c r="AQ102"/>
      <c r="AR102"/>
      <c r="AS102"/>
      <c r="AT102"/>
      <c r="AU102"/>
      <c r="AV102"/>
    </row>
    <row r="103" spans="2:48" x14ac:dyDescent="0.25">
      <c r="B103" s="147">
        <f>'NonQM (LP)'!B32</f>
        <v>8.4990000000000006</v>
      </c>
      <c r="C103" s="148">
        <f>'NonQM (LP)'!C32</f>
        <v>104.89650000000002</v>
      </c>
      <c r="D103" s="148">
        <f>'NonQM (LP)'!D32</f>
        <v>104.59650000000002</v>
      </c>
      <c r="E103" s="149"/>
      <c r="F103" s="149"/>
      <c r="H103" s="143">
        <v>22</v>
      </c>
      <c r="I103" s="150">
        <f t="shared" si="0"/>
        <v>8.4990000000000006</v>
      </c>
      <c r="J103" s="151" t="e">
        <f t="shared" si="1"/>
        <v>#N/A</v>
      </c>
      <c r="K103" s="151" t="e">
        <f t="shared" si="2"/>
        <v>#N/A</v>
      </c>
      <c r="L103" s="152"/>
      <c r="M103" s="152"/>
      <c r="N103" s="142">
        <v>8.4990000000000006</v>
      </c>
      <c r="Y103" s="92" t="s">
        <v>272</v>
      </c>
      <c r="Z103" s="154" t="str">
        <f>IF(AND(
   ISNUMBER(MATCH('NonQM (LP)'!$U$12, $A$3:$A$5, 0)),
   ISNUMBER(MATCH('NonQM (LP)'!$U$11, $B$8:$B$11, 0)),
   ISNUMBER(MATCH('NonQM (LP)'!$U$15, $D$18, 0)),
   ISNUMBER(MATCH('NonQM (LP)'!$U$22, $J$6:$J$7, 0)),
   ISNUMBER(MATCH('NonQM (LP)'!$U$21, $G$8, 0)),
   'NonQM (LP)'!$U$13 = $C$4
), NA(), "")</f>
        <v/>
      </c>
      <c r="AA103" s="92" t="s">
        <v>425</v>
      </c>
      <c r="AK103"/>
      <c r="AL103"/>
      <c r="AM103"/>
      <c r="AN103"/>
      <c r="AO103"/>
      <c r="AP103"/>
      <c r="AQ103"/>
      <c r="AR103"/>
      <c r="AS103"/>
      <c r="AT103"/>
      <c r="AU103"/>
      <c r="AV103"/>
    </row>
    <row r="104" spans="2:48" x14ac:dyDescent="0.25">
      <c r="B104" s="147">
        <f>'NonQM (LP)'!B33</f>
        <v>8.625</v>
      </c>
      <c r="C104" s="148">
        <f>'NonQM (LP)'!C33</f>
        <v>105.14650000000002</v>
      </c>
      <c r="D104" s="148">
        <f>'NonQM (LP)'!D33</f>
        <v>104.84650000000002</v>
      </c>
      <c r="E104" s="149"/>
      <c r="F104" s="149"/>
      <c r="H104" s="143">
        <v>23</v>
      </c>
      <c r="I104" s="150">
        <f t="shared" si="0"/>
        <v>8.625</v>
      </c>
      <c r="J104" s="151" t="e">
        <f t="shared" si="1"/>
        <v>#N/A</v>
      </c>
      <c r="K104" s="151" t="e">
        <f t="shared" si="2"/>
        <v>#N/A</v>
      </c>
      <c r="L104" s="152"/>
      <c r="M104" s="152"/>
      <c r="N104" s="142">
        <v>8.625</v>
      </c>
      <c r="Y104" s="92" t="s">
        <v>272</v>
      </c>
      <c r="Z104" s="154" t="str">
        <f>IF(AND(
   ISNUMBER(MATCH('NonQM (LP)'!$U$12, $A$6, 0)),
   ISNUMBER(MATCH('NonQM (LP)'!$U$11, $B$9:$B$11, 0)),
   ISNUMBER(MATCH('NonQM (LP)'!$U$15, $D$18, 0)),
   ISNUMBER(MATCH('NonQM (LP)'!$U$22, $J$3:$J$5, 0)),
   ISNUMBER(MATCH('NonQM (LP)'!$U$21, $G$8, 0)),
   'NonQM (LP)'!$U$13 = $C$4
), NA(), "")</f>
        <v/>
      </c>
      <c r="AA104" s="92" t="s">
        <v>433</v>
      </c>
      <c r="AK104"/>
      <c r="AL104"/>
      <c r="AM104"/>
      <c r="AN104"/>
      <c r="AO104"/>
      <c r="AP104"/>
      <c r="AQ104"/>
      <c r="AR104"/>
      <c r="AS104"/>
      <c r="AT104"/>
      <c r="AU104"/>
      <c r="AV104"/>
    </row>
    <row r="105" spans="2:48" x14ac:dyDescent="0.25">
      <c r="B105" s="147">
        <f>'NonQM (LP)'!B34</f>
        <v>8.75</v>
      </c>
      <c r="C105" s="148">
        <f>'NonQM (LP)'!C34</f>
        <v>105.33450000000002</v>
      </c>
      <c r="D105" s="148">
        <f>'NonQM (LP)'!D34</f>
        <v>105.03450000000002</v>
      </c>
      <c r="E105" s="149"/>
      <c r="F105" s="149"/>
      <c r="H105" s="143">
        <v>24</v>
      </c>
      <c r="I105" s="150">
        <f t="shared" si="0"/>
        <v>8.75</v>
      </c>
      <c r="J105" s="151" t="e">
        <f t="shared" si="1"/>
        <v>#N/A</v>
      </c>
      <c r="K105" s="151" t="e">
        <f t="shared" si="2"/>
        <v>#N/A</v>
      </c>
      <c r="L105" s="152"/>
      <c r="M105" s="152"/>
      <c r="N105" s="142">
        <v>8.75</v>
      </c>
      <c r="Y105" s="92" t="s">
        <v>272</v>
      </c>
      <c r="Z105" s="154" t="str">
        <f>IF(AND(
   ISNUMBER(MATCH('NonQM (LP)'!$U$12, $A$6, 0)),
   ISNUMBER(MATCH('NonQM (LP)'!$U$11, $B$8:$B$11, 0)),
   ISNUMBER(MATCH('NonQM (LP)'!$U$15, $D$18, 0)),
   ISNUMBER(MATCH('NonQM (LP)'!$U$22, $J$6:$J$7, 0)),
   ISNUMBER(MATCH('NonQM (LP)'!$U$21, $G$8, 0)),
   'NonQM (LP)'!$U$13 = $C$4
), NA(), "")</f>
        <v/>
      </c>
      <c r="AA105" s="92" t="s">
        <v>441</v>
      </c>
      <c r="AK105"/>
      <c r="AL105"/>
      <c r="AM105"/>
      <c r="AN105"/>
      <c r="AO105"/>
      <c r="AP105"/>
      <c r="AQ105"/>
      <c r="AR105"/>
      <c r="AS105"/>
      <c r="AT105"/>
      <c r="AU105"/>
      <c r="AV105"/>
    </row>
    <row r="106" spans="2:48" x14ac:dyDescent="0.25">
      <c r="B106" s="147">
        <f>'NonQM (LP)'!B35</f>
        <v>8.875</v>
      </c>
      <c r="C106" s="148">
        <f>'NonQM (LP)'!C35</f>
        <v>105.52150000000002</v>
      </c>
      <c r="D106" s="148">
        <f>'NonQM (LP)'!D35</f>
        <v>105.22150000000002</v>
      </c>
      <c r="E106" s="149"/>
      <c r="F106" s="149"/>
      <c r="H106" s="143">
        <v>25</v>
      </c>
      <c r="I106" s="150">
        <f t="shared" si="0"/>
        <v>8.875</v>
      </c>
      <c r="J106" s="151" t="e">
        <f t="shared" si="1"/>
        <v>#N/A</v>
      </c>
      <c r="K106" s="151" t="e">
        <f t="shared" si="2"/>
        <v>#N/A</v>
      </c>
      <c r="L106" s="152"/>
      <c r="M106" s="152"/>
      <c r="N106" s="142">
        <v>8.875</v>
      </c>
      <c r="Y106" s="92" t="s">
        <v>272</v>
      </c>
      <c r="Z106" s="154" t="str">
        <f>IF(AND(
   ISNUMBER(MATCH('NonQM (LP)'!$U$12, $A$7, 0)),
   ISNUMBER(MATCH('NonQM (LP)'!$U$11, $B$9:$B$11, 0)),
   ISNUMBER(MATCH('NonQM (LP)'!$U$15, $D$18, 0)),
   ISNUMBER(MATCH('NonQM (LP)'!$U$22, $J$3:$J$5, 0)),
   ISNUMBER(MATCH('NonQM (LP)'!$U$21, $G$8, 0)),
   'NonQM (LP)'!$U$13 = $C$4
), NA(), "")</f>
        <v/>
      </c>
      <c r="AA106" s="92" t="s">
        <v>449</v>
      </c>
      <c r="AB106"/>
      <c r="AC106"/>
      <c r="AD106"/>
      <c r="AE106"/>
      <c r="AF106"/>
      <c r="AG106"/>
      <c r="AH106"/>
      <c r="AI106"/>
      <c r="AJ106"/>
      <c r="AK106"/>
      <c r="AL106"/>
      <c r="AM106"/>
      <c r="AN106"/>
    </row>
    <row r="107" spans="2:48" x14ac:dyDescent="0.25">
      <c r="B107" s="147">
        <f>'NonQM (LP)'!B36</f>
        <v>8.9990000000000006</v>
      </c>
      <c r="C107" s="148">
        <f>'NonQM (LP)'!C36</f>
        <v>105.70950000000002</v>
      </c>
      <c r="D107" s="148">
        <f>'NonQM (LP)'!D36</f>
        <v>105.40950000000002</v>
      </c>
      <c r="E107" s="149"/>
      <c r="F107" s="149"/>
      <c r="H107" s="143">
        <v>26</v>
      </c>
      <c r="I107" s="150">
        <f t="shared" si="0"/>
        <v>8.9990000000000006</v>
      </c>
      <c r="J107" s="151" t="e">
        <f t="shared" si="1"/>
        <v>#N/A</v>
      </c>
      <c r="K107" s="151" t="e">
        <f t="shared" si="2"/>
        <v>#N/A</v>
      </c>
      <c r="L107" s="152"/>
      <c r="M107" s="152"/>
      <c r="N107" s="142">
        <v>8.9990000000000006</v>
      </c>
      <c r="Y107" s="92" t="s">
        <v>272</v>
      </c>
      <c r="Z107" s="153" t="str">
        <f>IF(AND(
   ISNUMBER(MATCH('NonQM (LP)'!$U$12, $A$7, 0)),
   ISNUMBER(MATCH('NonQM (LP)'!$U$11, $B$8:$B$11, 0)),
   ISNUMBER(MATCH('NonQM (LP)'!$U$15, $D$18, 0)),
   ISNUMBER(MATCH('NonQM (LP)'!$U$22, $J$6:$J$7, 0)),
   ISNUMBER(MATCH('NonQM (LP)'!$U$21, $G$8, 0)),
   'NonQM (LP)'!$U$13 = $C$4
), NA(), "")</f>
        <v/>
      </c>
      <c r="AA107" s="92" t="s">
        <v>459</v>
      </c>
      <c r="AB107"/>
      <c r="AC107"/>
      <c r="AD107"/>
      <c r="AE107"/>
      <c r="AF107"/>
      <c r="AG107"/>
      <c r="AH107"/>
      <c r="AI107"/>
      <c r="AJ107"/>
      <c r="AK107"/>
      <c r="AL107"/>
      <c r="AM107"/>
      <c r="AN107"/>
    </row>
    <row r="108" spans="2:48" x14ac:dyDescent="0.25">
      <c r="B108" s="147">
        <f>'NonQM (LP)'!B37</f>
        <v>9.125</v>
      </c>
      <c r="C108" s="148">
        <f>'NonQM (LP)'!C37</f>
        <v>105.89650000000002</v>
      </c>
      <c r="D108" s="148">
        <f>'NonQM (LP)'!D37</f>
        <v>105.59650000000002</v>
      </c>
      <c r="E108" s="149"/>
      <c r="F108" s="149"/>
      <c r="H108" s="143">
        <v>27</v>
      </c>
      <c r="I108" s="150">
        <f t="shared" si="0"/>
        <v>9.125</v>
      </c>
      <c r="J108" s="151" t="e">
        <f t="shared" si="1"/>
        <v>#N/A</v>
      </c>
      <c r="K108" s="151" t="e">
        <f t="shared" si="2"/>
        <v>#N/A</v>
      </c>
      <c r="L108" s="152"/>
      <c r="M108" s="152"/>
      <c r="N108" s="142">
        <v>9.125</v>
      </c>
      <c r="Y108" s="92" t="s">
        <v>272</v>
      </c>
      <c r="Z108" s="153" t="str">
        <f>IF(AND(
   ISNUMBER(MATCH('NonQM (LP)'!$U$12, $A$8, 0)),
   ISNUMBER(MATCH('NonQM (LP)'!$U$11, $B$8:$B$11, 0)),
   ISNUMBER(MATCH('NonQM (LP)'!$U$15, $D$18, 0)),
   ISNUMBER(MATCH('NonQM (LP)'!$U$22, $J$3:$J$5, 0)),
   ISNUMBER(MATCH('NonQM (LP)'!$U$21, $G$8, 0)),
   'NonQM (LP)'!$U$13 = $C$4
), NA(), "")</f>
        <v/>
      </c>
      <c r="AA108" s="92" t="s">
        <v>928</v>
      </c>
      <c r="AB108"/>
      <c r="AC108"/>
      <c r="AD108"/>
      <c r="AE108"/>
      <c r="AF108"/>
      <c r="AG108"/>
      <c r="AH108"/>
      <c r="AI108"/>
      <c r="AJ108"/>
      <c r="AK108"/>
      <c r="AL108"/>
      <c r="AM108"/>
      <c r="AN108"/>
    </row>
    <row r="109" spans="2:48" x14ac:dyDescent="0.25">
      <c r="B109" s="147">
        <f>'NonQM (LP)'!B38</f>
        <v>9.25</v>
      </c>
      <c r="C109" s="148">
        <f>'NonQM (LP)'!C38</f>
        <v>106.08450000000002</v>
      </c>
      <c r="D109" s="148">
        <f>'NonQM (LP)'!D38</f>
        <v>105.78450000000002</v>
      </c>
      <c r="E109" s="149"/>
      <c r="F109" s="149"/>
      <c r="H109" s="143">
        <v>28</v>
      </c>
      <c r="I109" s="150">
        <f t="shared" si="0"/>
        <v>9.25</v>
      </c>
      <c r="J109" s="151" t="e">
        <f t="shared" si="1"/>
        <v>#N/A</v>
      </c>
      <c r="K109" s="151" t="e">
        <f t="shared" si="2"/>
        <v>#N/A</v>
      </c>
      <c r="L109" s="152"/>
      <c r="M109" s="152"/>
      <c r="N109" s="142">
        <v>9.25</v>
      </c>
      <c r="Y109" s="92" t="s">
        <v>272</v>
      </c>
      <c r="Z109" s="153" t="str">
        <f>IF(AND(
   ISNUMBER(MATCH('NonQM (LP)'!$U$12, $A$8, 0)),
   ISNUMBER(MATCH('NonQM (LP)'!$U$11, $B$7:$B$11, 0)),
   ISNUMBER(MATCH('NonQM (LP)'!$U$15, $D$18, 0)),
   ISNUMBER(MATCH('NonQM (LP)'!$U$22, $J$6:$J$7, 0)),
   ISNUMBER(MATCH('NonQM (LP)'!$U$21, $G$8, 0)),
   'NonQM (LP)'!$U$13 = $C$4
), NA(), "")</f>
        <v/>
      </c>
      <c r="AA109" s="92" t="s">
        <v>477</v>
      </c>
      <c r="AB109"/>
      <c r="AC109"/>
      <c r="AD109"/>
      <c r="AE109"/>
      <c r="AF109"/>
      <c r="AG109"/>
      <c r="AH109"/>
      <c r="AI109"/>
      <c r="AJ109"/>
      <c r="AK109"/>
      <c r="AL109"/>
      <c r="AM109"/>
      <c r="AN109"/>
    </row>
    <row r="110" spans="2:48" x14ac:dyDescent="0.25">
      <c r="B110" s="147">
        <f>'NonQM (LP)'!B39</f>
        <v>9.375</v>
      </c>
      <c r="C110" s="148">
        <f>'NonQM (LP)'!C39</f>
        <v>106.27150000000002</v>
      </c>
      <c r="D110" s="148">
        <f>'NonQM (LP)'!D39</f>
        <v>105.97150000000002</v>
      </c>
      <c r="E110" s="149"/>
      <c r="F110" s="149"/>
      <c r="H110" s="143">
        <v>29</v>
      </c>
      <c r="I110" s="150">
        <f t="shared" si="0"/>
        <v>9.375</v>
      </c>
      <c r="J110" s="151" t="e">
        <f t="shared" si="1"/>
        <v>#N/A</v>
      </c>
      <c r="K110" s="151" t="e">
        <f t="shared" si="2"/>
        <v>#N/A</v>
      </c>
      <c r="L110" s="152"/>
      <c r="M110" s="152"/>
      <c r="N110" s="142">
        <v>9.375</v>
      </c>
      <c r="Y110" s="92" t="s">
        <v>272</v>
      </c>
      <c r="Z110" s="153" t="str">
        <f>IF(AND(
   ISNUMBER(MATCH('NonQM (LP)'!$U$12, $A$9:$A$10, 0)),
   ISNUMBER(MATCH('NonQM (LP)'!$U$11, $B$7:$B$11, 0)),
   ISNUMBER(MATCH('NonQM (LP)'!$U$15, $D$18, 0)),
   ISNUMBER(MATCH('NonQM (LP)'!$U$22, $J$3:$J$5, 0)),
   ISNUMBER(MATCH('NonQM (LP)'!$U$21, $G$8, 0)),
   'NonQM (LP)'!$U$13 = $C$4
), NA(), "")</f>
        <v/>
      </c>
      <c r="AA110" s="92" t="s">
        <v>485</v>
      </c>
      <c r="AB110"/>
      <c r="AC110"/>
      <c r="AD110"/>
      <c r="AE110"/>
      <c r="AF110"/>
      <c r="AG110"/>
      <c r="AH110"/>
      <c r="AI110"/>
      <c r="AJ110"/>
      <c r="AK110"/>
      <c r="AL110"/>
      <c r="AM110"/>
      <c r="AN110"/>
    </row>
    <row r="111" spans="2:48" x14ac:dyDescent="0.25">
      <c r="B111" s="147">
        <f>'NonQM (LP)'!B40</f>
        <v>9.4990000000000006</v>
      </c>
      <c r="C111" s="148">
        <f>'NonQM (LP)'!C40</f>
        <v>106.45950000000002</v>
      </c>
      <c r="D111" s="148">
        <f>'NonQM (LP)'!D40</f>
        <v>106.15950000000002</v>
      </c>
      <c r="E111" s="149"/>
      <c r="F111" s="149"/>
      <c r="H111" s="143">
        <v>30</v>
      </c>
      <c r="I111" s="150">
        <f t="shared" si="0"/>
        <v>9.4990000000000006</v>
      </c>
      <c r="J111" s="151" t="e">
        <f t="shared" si="1"/>
        <v>#N/A</v>
      </c>
      <c r="K111" s="151" t="e">
        <f t="shared" si="2"/>
        <v>#N/A</v>
      </c>
      <c r="L111" s="152"/>
      <c r="M111" s="152"/>
      <c r="N111" s="142">
        <v>9.4990000000000006</v>
      </c>
      <c r="Y111" s="92" t="s">
        <v>272</v>
      </c>
      <c r="Z111" s="154" t="str">
        <f>IF(AND(
   ISNUMBER(MATCH('NonQM (LP)'!$U$12, $A$9:$A$10, 0)),
   ISNUMBER(MATCH('NonQM (LP)'!$U$11, $B$6:$B$11, 0)),
   ISNUMBER(MATCH('NonQM (LP)'!$U$15, $D$18, 0)),
   ISNUMBER(MATCH('NonQM (LP)'!$U$22, $J$6:$J$7, 0)),
   ISNUMBER(MATCH('NonQM (LP)'!$U$21, $G$8, 0)),
   'NonQM (LP)'!$U$13 = $C$4
), NA(), "")</f>
        <v/>
      </c>
      <c r="AA111" s="92" t="s">
        <v>495</v>
      </c>
      <c r="AB111"/>
      <c r="AC111"/>
      <c r="AD111"/>
      <c r="AE111"/>
      <c r="AF111"/>
      <c r="AG111"/>
      <c r="AH111"/>
      <c r="AI111"/>
      <c r="AJ111"/>
      <c r="AK111"/>
      <c r="AL111"/>
      <c r="AM111"/>
      <c r="AN111"/>
    </row>
    <row r="112" spans="2:48" x14ac:dyDescent="0.25">
      <c r="B112" s="147">
        <f>'NonQM (LP)'!B41</f>
        <v>9.625</v>
      </c>
      <c r="C112" s="148">
        <f>'NonQM (LP)'!C41</f>
        <v>106.64650000000002</v>
      </c>
      <c r="D112" s="148">
        <f>'NonQM (LP)'!D41</f>
        <v>106.34650000000002</v>
      </c>
      <c r="E112" s="149"/>
      <c r="F112" s="149"/>
      <c r="H112" s="143">
        <v>31</v>
      </c>
      <c r="I112" s="150">
        <f t="shared" si="0"/>
        <v>9.625</v>
      </c>
      <c r="J112" s="151" t="e">
        <f t="shared" si="1"/>
        <v>#N/A</v>
      </c>
      <c r="K112" s="151" t="e">
        <f t="shared" si="2"/>
        <v>#N/A</v>
      </c>
      <c r="L112" s="152"/>
      <c r="M112" s="152"/>
      <c r="N112" s="142">
        <v>9.625</v>
      </c>
      <c r="Y112" s="92" t="s">
        <v>272</v>
      </c>
      <c r="Z112" s="154" t="str">
        <f>IF(AND(
   ISNUMBER(MATCH('NonQM (LP)'!$U$12, $A$3:$A$7, 0)),
   ISNUMBER(MATCH('NonQM (LP)'!$U$11, $B$8:$B$11, 0)),
   ISNUMBER(MATCH('NonQM (LP)'!$U$15, $D$18, 0)),
   ISNUMBER(MATCH('NonQM (LP)'!$U$22, $J$3:$J$5, 0)),
   ISNUMBER(MATCH('NonQM (LP)'!$U$21, $G$9, 0)),
   'NonQM (LP)'!$U$13 = $C$4
), NA(), "")</f>
        <v/>
      </c>
      <c r="AA112" s="92" t="s">
        <v>503</v>
      </c>
      <c r="AB112"/>
      <c r="AC112"/>
      <c r="AD112"/>
      <c r="AE112"/>
      <c r="AF112"/>
      <c r="AG112"/>
      <c r="AH112"/>
      <c r="AI112"/>
      <c r="AJ112"/>
      <c r="AK112"/>
      <c r="AL112"/>
      <c r="AM112"/>
      <c r="AN112"/>
    </row>
    <row r="113" spans="2:40" x14ac:dyDescent="0.25">
      <c r="B113" s="147">
        <f>'NonQM (LP)'!B42</f>
        <v>9.75</v>
      </c>
      <c r="C113" s="148">
        <f>'NonQM (LP)'!C42</f>
        <v>106.83450000000002</v>
      </c>
      <c r="D113" s="148">
        <f>'NonQM (LP)'!D42</f>
        <v>106.53450000000002</v>
      </c>
      <c r="E113" s="149"/>
      <c r="F113" s="149"/>
      <c r="H113" s="143">
        <v>32</v>
      </c>
      <c r="I113" s="150">
        <f t="shared" si="0"/>
        <v>9.75</v>
      </c>
      <c r="J113" s="151" t="e">
        <f t="shared" si="1"/>
        <v>#N/A</v>
      </c>
      <c r="K113" s="151" t="e">
        <f t="shared" si="2"/>
        <v>#N/A</v>
      </c>
      <c r="L113" s="152"/>
      <c r="M113" s="152"/>
      <c r="N113" s="142">
        <v>9.75</v>
      </c>
      <c r="Y113" s="92" t="s">
        <v>272</v>
      </c>
      <c r="Z113" s="154" t="str">
        <f>IF(AND(
   ISNUMBER(MATCH('NonQM (LP)'!$U$12, $A$3:$A$7, 0)),
   ISNUMBER(MATCH('NonQM (LP)'!$U$11, $B$7:$B$11, 0)),
   ISNUMBER(MATCH('NonQM (LP)'!$U$15, $D$18, 0)),
   ISNUMBER(MATCH('NonQM (LP)'!$U$22, $J$6:$J$7, 0)),
   ISNUMBER(MATCH('NonQM (LP)'!$U$21, $G$9, 0)),
   'NonQM (LP)'!$U$13 = $C$4
), NA(), "")</f>
        <v/>
      </c>
      <c r="AA113" s="92" t="s">
        <v>511</v>
      </c>
      <c r="AB113"/>
      <c r="AC113"/>
      <c r="AD113"/>
      <c r="AE113"/>
      <c r="AF113"/>
      <c r="AG113"/>
      <c r="AH113"/>
      <c r="AI113"/>
      <c r="AJ113"/>
      <c r="AK113"/>
      <c r="AL113"/>
      <c r="AM113"/>
      <c r="AN113"/>
    </row>
    <row r="114" spans="2:40" x14ac:dyDescent="0.25">
      <c r="B114" s="147">
        <f>'NonQM (LP)'!B43</f>
        <v>9.875</v>
      </c>
      <c r="C114" s="148">
        <f>'NonQM (LP)'!C43</f>
        <v>106.95950000000002</v>
      </c>
      <c r="D114" s="148">
        <f>'NonQM (LP)'!D43</f>
        <v>106.65950000000002</v>
      </c>
      <c r="E114" s="149"/>
      <c r="F114" s="149"/>
      <c r="H114" s="143">
        <v>33</v>
      </c>
      <c r="I114" s="150">
        <f t="shared" si="0"/>
        <v>9.875</v>
      </c>
      <c r="J114" s="151" t="e">
        <f t="shared" si="1"/>
        <v>#N/A</v>
      </c>
      <c r="K114" s="151" t="e">
        <f t="shared" si="2"/>
        <v>#N/A</v>
      </c>
      <c r="L114" s="152"/>
      <c r="M114" s="152"/>
      <c r="N114" s="142">
        <v>9.875</v>
      </c>
      <c r="Y114" s="92" t="s">
        <v>272</v>
      </c>
      <c r="Z114" s="154" t="str">
        <f>IF(AND(
   ISNUMBER(MATCH('NonQM (LP)'!$U$12, $A$8, 0)),
   ISNUMBER(MATCH('NonQM (LP)'!$U$11, $B$7:$B$11, 0)),
   ISNUMBER(MATCH('NonQM (LP)'!$U$15, $D$18, 0)),
   ISNUMBER(MATCH('NonQM (LP)'!$U$22, $J$3:$J$5, 0)),
   ISNUMBER(MATCH('NonQM (LP)'!$U$21, $G$9, 0)),
   'NonQM (LP)'!$U$13 = $C$4
), NA(), "")</f>
        <v/>
      </c>
      <c r="AA114" s="92" t="s">
        <v>520</v>
      </c>
      <c r="AB114"/>
      <c r="AC114"/>
      <c r="AD114"/>
      <c r="AE114"/>
      <c r="AF114"/>
      <c r="AG114"/>
      <c r="AH114"/>
      <c r="AI114"/>
      <c r="AJ114"/>
      <c r="AK114"/>
      <c r="AL114"/>
      <c r="AM114"/>
      <c r="AN114"/>
    </row>
    <row r="115" spans="2:40" x14ac:dyDescent="0.25">
      <c r="B115" s="147">
        <f>'NonQM (LP)'!B44</f>
        <v>9.9990000000000006</v>
      </c>
      <c r="C115" s="148">
        <f>'NonQM (LP)'!C44</f>
        <v>107.08450000000002</v>
      </c>
      <c r="D115" s="148">
        <f>'NonQM (LP)'!D44</f>
        <v>106.78450000000002</v>
      </c>
      <c r="E115" s="149"/>
      <c r="F115" s="149"/>
      <c r="H115" s="143">
        <v>34</v>
      </c>
      <c r="I115" s="150">
        <f t="shared" si="0"/>
        <v>9.9990000000000006</v>
      </c>
      <c r="J115" s="151" t="e">
        <f t="shared" si="1"/>
        <v>#N/A</v>
      </c>
      <c r="K115" s="151" t="e">
        <f t="shared" si="2"/>
        <v>#N/A</v>
      </c>
      <c r="L115" s="152"/>
      <c r="M115" s="152"/>
      <c r="N115" s="142">
        <v>9.9990000000000006</v>
      </c>
      <c r="Y115" s="92" t="s">
        <v>272</v>
      </c>
      <c r="Z115" s="154" t="str">
        <f>IF(AND(
   ISNUMBER(MATCH('NonQM (LP)'!$U$12, $A$8, 0)),
   ISNUMBER(MATCH('NonQM (LP)'!$U$11, $B$6:$B$11, 0)),
   ISNUMBER(MATCH('NonQM (LP)'!$U$15, $D$18, 0)),
   ISNUMBER(MATCH('NonQM (LP)'!$U$22, $J$6:$J$7, 0)),
   ISNUMBER(MATCH('NonQM (LP)'!$U$21, $G$9, 0)),
   'NonQM (LP)'!$U$13 = $C$4
), NA(), "")</f>
        <v/>
      </c>
      <c r="AA115" s="92" t="s">
        <v>528</v>
      </c>
      <c r="AB115"/>
      <c r="AC115"/>
      <c r="AD115"/>
      <c r="AE115"/>
      <c r="AF115"/>
      <c r="AG115"/>
      <c r="AH115"/>
      <c r="AI115"/>
      <c r="AJ115"/>
      <c r="AK115"/>
      <c r="AL115"/>
      <c r="AM115"/>
      <c r="AN115"/>
    </row>
    <row r="116" spans="2:40" x14ac:dyDescent="0.25">
      <c r="B116" s="147">
        <f>'NonQM (LP)'!B45</f>
        <v>10.125</v>
      </c>
      <c r="C116" s="148">
        <f>'NonQM (LP)'!C45</f>
        <v>107.20950000000002</v>
      </c>
      <c r="D116" s="148">
        <f>'NonQM (LP)'!D45</f>
        <v>106.90950000000002</v>
      </c>
      <c r="E116" s="149"/>
      <c r="F116" s="149"/>
      <c r="H116" s="143">
        <v>35</v>
      </c>
      <c r="I116" s="150">
        <f t="shared" si="0"/>
        <v>10.125</v>
      </c>
      <c r="J116" s="151" t="e">
        <f t="shared" si="1"/>
        <v>#N/A</v>
      </c>
      <c r="K116" s="151" t="e">
        <f t="shared" si="2"/>
        <v>#N/A</v>
      </c>
      <c r="L116" s="152"/>
      <c r="M116" s="152"/>
      <c r="N116" s="142">
        <v>10.125</v>
      </c>
      <c r="Y116" s="92" t="s">
        <v>272</v>
      </c>
      <c r="Z116" s="154" t="str">
        <f>IF(AND(
   ISNUMBER(MATCH('NonQM (LP)'!$U$12, $A$3:$A$6, 0)),
   ISNUMBER(MATCH('NonQM (LP)'!$U$11, $B$7:$B$11, 0)),
   ISNUMBER(MATCH('NonQM (LP)'!$U$15, $D$18, 0)),
   ISNUMBER(MATCH('NonQM (LP)'!$U$22, $J$3:$J$5, 0)),
   ISNUMBER(MATCH('NonQM (LP)'!$U$21, $G$10, 0)),
   'NonQM (LP)'!$U$13 = $C$4
), NA(), "")</f>
        <v/>
      </c>
      <c r="AA116" s="92" t="s">
        <v>537</v>
      </c>
      <c r="AB116"/>
      <c r="AC116"/>
      <c r="AD116"/>
      <c r="AE116"/>
      <c r="AF116"/>
      <c r="AG116"/>
      <c r="AH116"/>
      <c r="AI116"/>
      <c r="AJ116"/>
      <c r="AK116"/>
      <c r="AL116"/>
      <c r="AM116"/>
      <c r="AN116"/>
    </row>
    <row r="117" spans="2:40" x14ac:dyDescent="0.25">
      <c r="B117" s="147">
        <f>'NonQM (LP)'!B46</f>
        <v>10.25</v>
      </c>
      <c r="C117" s="148">
        <f>'NonQM (LP)'!C46</f>
        <v>107.33450000000002</v>
      </c>
      <c r="D117" s="148">
        <f>'NonQM (LP)'!D46</f>
        <v>107.03450000000002</v>
      </c>
      <c r="E117" s="149"/>
      <c r="F117" s="149"/>
      <c r="H117" s="143">
        <v>36</v>
      </c>
      <c r="I117" s="150">
        <f t="shared" si="0"/>
        <v>10.25</v>
      </c>
      <c r="J117" s="151" t="e">
        <f t="shared" si="1"/>
        <v>#N/A</v>
      </c>
      <c r="K117" s="151" t="e">
        <f t="shared" si="2"/>
        <v>#N/A</v>
      </c>
      <c r="L117" s="152"/>
      <c r="M117" s="152"/>
      <c r="N117" s="142">
        <v>10.25</v>
      </c>
      <c r="Y117" s="92" t="s">
        <v>272</v>
      </c>
      <c r="Z117" s="154" t="str">
        <f>IF(AND(
   ISNUMBER(MATCH('NonQM (LP)'!$U$12, $A$3:$A$6, 0)),
   ISNUMBER(MATCH('NonQM (LP)'!$U$11, $B$6:$B$11, 0)),
   ISNUMBER(MATCH('NonQM (LP)'!$U$15, $D$18, 0)),
   ISNUMBER(MATCH('NonQM (LP)'!$U$22, $J$6:$J$7, 0)),
   ISNUMBER(MATCH('NonQM (LP)'!$U$21, $G$10, 0)),
   'NonQM (LP)'!$U$13 = $C$4
), NA(), "")</f>
        <v/>
      </c>
      <c r="AA117" s="92" t="s">
        <v>545</v>
      </c>
      <c r="AB117"/>
      <c r="AC117"/>
      <c r="AD117"/>
      <c r="AE117"/>
      <c r="AF117"/>
      <c r="AG117"/>
      <c r="AH117"/>
      <c r="AI117"/>
      <c r="AJ117"/>
      <c r="AK117"/>
      <c r="AL117"/>
      <c r="AM117"/>
      <c r="AN117"/>
    </row>
    <row r="118" spans="2:40" x14ac:dyDescent="0.25">
      <c r="B118" s="147">
        <f>'NonQM (LP)'!B47</f>
        <v>10.375</v>
      </c>
      <c r="C118" s="148">
        <f>'NonQM (LP)'!C47</f>
        <v>107.45950000000002</v>
      </c>
      <c r="D118" s="148">
        <f>'NonQM (LP)'!D47</f>
        <v>107.15950000000002</v>
      </c>
      <c r="E118" s="149"/>
      <c r="F118" s="149"/>
      <c r="H118" s="143">
        <v>37</v>
      </c>
      <c r="I118" s="150">
        <f t="shared" si="0"/>
        <v>10.375</v>
      </c>
      <c r="J118" s="151" t="e">
        <f t="shared" si="1"/>
        <v>#N/A</v>
      </c>
      <c r="K118" s="151" t="e">
        <f t="shared" si="2"/>
        <v>#N/A</v>
      </c>
      <c r="L118" s="152"/>
      <c r="M118" s="152"/>
      <c r="N118" s="142">
        <v>10.375</v>
      </c>
      <c r="Y118" s="92" t="s">
        <v>272</v>
      </c>
      <c r="Z118" s="154" t="str">
        <f>IF(AND(
   ISNUMBER(MATCH('NonQM (LP)'!$U$12, $A$7, 0)),
   ISNUMBER(MATCH('NonQM (LP)'!$U$11, $B$6:$B$11, 0)),
   ISNUMBER(MATCH('NonQM (LP)'!$U$15, $D$18, 0)),
   ISNUMBER(MATCH('NonQM (LP)'!$U$22, $J$3:$J$5, 0)),
   ISNUMBER(MATCH('NonQM (LP)'!$U$21, $G$10, 0)),
   'NonQM (LP)'!$U$13 = $C$4
), NA(), "")</f>
        <v/>
      </c>
      <c r="AA118" s="92" t="s">
        <v>553</v>
      </c>
      <c r="AB118"/>
      <c r="AC118"/>
      <c r="AD118"/>
      <c r="AE118"/>
      <c r="AF118"/>
      <c r="AG118"/>
      <c r="AH118"/>
      <c r="AI118"/>
      <c r="AJ118"/>
      <c r="AK118"/>
      <c r="AL118"/>
      <c r="AM118"/>
      <c r="AN118"/>
    </row>
    <row r="119" spans="2:40" x14ac:dyDescent="0.25">
      <c r="B119" s="147">
        <f>'NonQM (LP)'!B48</f>
        <v>10.499000000000001</v>
      </c>
      <c r="C119" s="148">
        <f>'NonQM (LP)'!C48</f>
        <v>107.58450000000002</v>
      </c>
      <c r="D119" s="148">
        <f>'NonQM (LP)'!D48</f>
        <v>107.28450000000002</v>
      </c>
      <c r="E119" s="149"/>
      <c r="F119" s="149"/>
      <c r="H119" s="143">
        <v>38</v>
      </c>
      <c r="I119" s="150">
        <f t="shared" si="0"/>
        <v>10.499000000000001</v>
      </c>
      <c r="J119" s="151" t="e">
        <f t="shared" si="1"/>
        <v>#N/A</v>
      </c>
      <c r="K119" s="151" t="e">
        <f t="shared" si="2"/>
        <v>#N/A</v>
      </c>
      <c r="L119" s="152"/>
      <c r="M119" s="152"/>
      <c r="N119" s="142">
        <v>10.499000000000001</v>
      </c>
      <c r="P119" s="368"/>
      <c r="Y119" s="92" t="s">
        <v>272</v>
      </c>
      <c r="Z119" s="154" t="str">
        <f>IF(AND(
   ISNUMBER(MATCH('NonQM (LP)'!$U$12, $A$7, 0)),
   ISNUMBER(MATCH('NonQM (LP)'!$U$11, $B$5:$B$11, 0)),
   ISNUMBER(MATCH('NonQM (LP)'!$U$15, $D$18, 0)),
   ISNUMBER(MATCH('NonQM (LP)'!$U$22, $J$6:$J$7, 0)),
   ISNUMBER(MATCH('NonQM (LP)'!$U$21, $G$10, 0)),
   'NonQM (LP)'!$U$13 = $C$4
), NA(), "")</f>
        <v/>
      </c>
      <c r="AA119" s="92" t="s">
        <v>561</v>
      </c>
      <c r="AB119"/>
      <c r="AC119"/>
      <c r="AD119"/>
      <c r="AE119"/>
      <c r="AF119"/>
      <c r="AG119"/>
      <c r="AH119"/>
      <c r="AI119"/>
      <c r="AJ119"/>
      <c r="AK119"/>
      <c r="AL119"/>
      <c r="AM119"/>
      <c r="AN119"/>
    </row>
    <row r="120" spans="2:40" x14ac:dyDescent="0.25">
      <c r="B120" s="147">
        <f>'NonQM (LP)'!B49</f>
        <v>10.625</v>
      </c>
      <c r="C120" s="148">
        <f>'NonQM (LP)'!C49</f>
        <v>107.70950000000002</v>
      </c>
      <c r="D120" s="148">
        <f>'NonQM (LP)'!D49</f>
        <v>107.40950000000002</v>
      </c>
      <c r="E120" s="149"/>
      <c r="F120" s="149"/>
      <c r="H120" s="143">
        <v>39</v>
      </c>
      <c r="I120" s="150">
        <f t="shared" si="0"/>
        <v>10.625</v>
      </c>
      <c r="J120" s="151" t="e">
        <f t="shared" si="1"/>
        <v>#N/A</v>
      </c>
      <c r="K120" s="151" t="e">
        <f t="shared" si="2"/>
        <v>#N/A</v>
      </c>
      <c r="L120" s="152"/>
      <c r="M120" s="152"/>
      <c r="N120" s="142">
        <v>10.625</v>
      </c>
      <c r="Y120" s="92" t="s">
        <v>272</v>
      </c>
      <c r="Z120" s="154" t="str">
        <f>IF(AND(
   ISNUMBER(MATCH('NonQM (LP)'!$U$12, $A$8, 0)),
   ISNUMBER(MATCH('NonQM (LP)'!$U$11, $B$5:$B$11, 0)),
   ISNUMBER(MATCH('NonQM (LP)'!$U$15, $D$18, 0)),
   ISNUMBER(MATCH('NonQM (LP)'!$U$22, $J$3:$J$5, 0)),
   ISNUMBER(MATCH('NonQM (LP)'!$U$21, $G$10, 0)),
   'NonQM (LP)'!$U$13 = $C$4
), NA(), "")</f>
        <v/>
      </c>
      <c r="AA120" s="92" t="s">
        <v>571</v>
      </c>
      <c r="AB120"/>
      <c r="AC120"/>
      <c r="AD120"/>
      <c r="AE120"/>
      <c r="AF120"/>
      <c r="AG120"/>
      <c r="AH120"/>
      <c r="AI120"/>
      <c r="AJ120"/>
      <c r="AK120"/>
      <c r="AL120"/>
      <c r="AM120"/>
      <c r="AN120"/>
    </row>
    <row r="121" spans="2:40" x14ac:dyDescent="0.25">
      <c r="B121" s="147">
        <f>'NonQM (LP)'!B50</f>
        <v>10.75</v>
      </c>
      <c r="C121" s="148">
        <f>'NonQM (LP)'!C50</f>
        <v>107.83450000000002</v>
      </c>
      <c r="D121" s="148">
        <f>'NonQM (LP)'!D50</f>
        <v>107.53450000000002</v>
      </c>
      <c r="E121" s="149"/>
      <c r="F121" s="149"/>
      <c r="H121" s="143">
        <v>40</v>
      </c>
      <c r="I121" s="150">
        <f t="shared" si="0"/>
        <v>10.75</v>
      </c>
      <c r="J121" s="151" t="e">
        <f t="shared" si="1"/>
        <v>#N/A</v>
      </c>
      <c r="K121" s="151" t="e">
        <f t="shared" si="2"/>
        <v>#N/A</v>
      </c>
      <c r="L121" s="152"/>
      <c r="M121" s="152"/>
      <c r="N121" s="142">
        <v>10.75</v>
      </c>
      <c r="Y121" s="92" t="s">
        <v>272</v>
      </c>
      <c r="Z121" s="154" t="str">
        <f>IF(AND(
   ISNUMBER(MATCH('NonQM (LP)'!$U$12, $A$8, 0)),
   ISNUMBER(MATCH('NonQM (LP)'!$U$11, $B$4:$B$11, 0)),
   ISNUMBER(MATCH('NonQM (LP)'!$U$15, $D$18, 0)),
   ISNUMBER(MATCH('NonQM (LP)'!$U$22, $J$6:$J$7, 0)),
   ISNUMBER(MATCH('NonQM (LP)'!$U$21, $G$10, 0)),
   'NonQM (LP)'!$U$13 = $C$4
), NA(), "")</f>
        <v/>
      </c>
      <c r="AA121" s="92"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t="e">
        <f t="shared" si="1"/>
        <v>#N/A</v>
      </c>
      <c r="K122" s="151" t="e">
        <f t="shared" si="2"/>
        <v>#N/A</v>
      </c>
      <c r="L122" s="152"/>
      <c r="M122" s="152"/>
      <c r="N122" s="142">
        <v>0</v>
      </c>
      <c r="Y122" s="92" t="s">
        <v>272</v>
      </c>
      <c r="Z122" s="154" t="str">
        <f>IF(AND(
   ISNUMBER(MATCH('NonQM (LP)'!$U$12, $A$9, 0)),
   ISNUMBER(MATCH('NonQM (LP)'!$U$11, $B$3:$B$11, 0)),
   ISNUMBER(MATCH('NonQM (LP)'!$U$15, $D$18, 0)),
   ISNUMBER(MATCH('NonQM (LP)'!$U$22, $J$3:$J$5, 0)),
   ISNUMBER(MATCH('NonQM (LP)'!$U$21, $G$10, 0)),
   'NonQM (LP)'!$U$13 = $C$4
), NA(), "")</f>
        <v/>
      </c>
      <c r="AA122" s="129"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t="e">
        <f t="shared" si="1"/>
        <v>#N/A</v>
      </c>
      <c r="K123" s="151" t="e">
        <f t="shared" si="2"/>
        <v>#N/A</v>
      </c>
      <c r="L123" s="152"/>
      <c r="M123" s="152"/>
      <c r="N123" s="142">
        <v>0</v>
      </c>
      <c r="P123" s="494"/>
      <c r="Y123" s="92" t="s">
        <v>272</v>
      </c>
      <c r="Z123" s="154" t="str">
        <f>IF(AND(
   ISNUMBER(MATCH('NonQM (LP)'!$U$12, $A$9, 0)),
   ISNUMBER(MATCH('NonQM (LP)'!$U$11, $B$3:$B$11, 0)),
   ISNUMBER(MATCH('NonQM (LP)'!$U$15, $D$18, 0)),
   ISNUMBER(MATCH('NonQM (LP)'!$U$22, $J$6:$J$7, 0)),
   ISNUMBER(MATCH('NonQM (LP)'!$U$21, $G$10, 0)),
   'NonQM (LP)'!$U$13 = $C$4
), NA(), "")</f>
        <v/>
      </c>
      <c r="AA123" s="92"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t="e">
        <f t="shared" si="1"/>
        <v>#N/A</v>
      </c>
      <c r="K124" s="151" t="e">
        <f t="shared" si="2"/>
        <v>#N/A</v>
      </c>
      <c r="L124" s="152"/>
      <c r="M124" s="152"/>
      <c r="N124" s="92">
        <v>0</v>
      </c>
      <c r="O124" s="493"/>
      <c r="P124" s="493"/>
      <c r="Z124" s="154" t="str">
        <f>IF(AND(
   ISNUMBER(MATCH(#REF!, $D$18:$D$19, 0)),
   ISNUMBER(MATCH(#REF!, $C$5:$C$8))), NA(), "")</f>
        <v/>
      </c>
      <c r="AA124"/>
      <c r="AB124"/>
      <c r="AC124"/>
      <c r="AD124"/>
      <c r="AE124"/>
      <c r="AF124"/>
      <c r="AG124"/>
      <c r="AH124"/>
      <c r="AI124"/>
      <c r="AJ124"/>
      <c r="AK124"/>
      <c r="AL124"/>
      <c r="AM124"/>
      <c r="AN124"/>
    </row>
    <row r="125" spans="2:40" ht="15.75" thickBot="1" x14ac:dyDescent="0.3">
      <c r="H125" s="92">
        <v>44</v>
      </c>
      <c r="M125"/>
      <c r="O125" s="493"/>
      <c r="P125" s="493"/>
      <c r="AA125"/>
      <c r="AB125"/>
      <c r="AC125"/>
      <c r="AD125"/>
      <c r="AE125"/>
      <c r="AF125"/>
      <c r="AG125"/>
      <c r="AH125"/>
      <c r="AI125"/>
      <c r="AJ125"/>
      <c r="AK125"/>
      <c r="AL125"/>
      <c r="AM125"/>
      <c r="AN125"/>
    </row>
    <row r="126" spans="2:40" x14ac:dyDescent="0.25">
      <c r="G126" s="92" t="s">
        <v>633</v>
      </c>
      <c r="J126" s="159" t="e" cm="1">
        <f t="array" aca="1" ref="J126" ca="1">IF(IFERROR(INDEX(OFFSET(J82:J121,0,-1),MATCH(TRUE,($J$82:$J$121)&gt;=IF(E147&gt;100,100,E147),0)),MAX(I82:I121))&lt;E152,INDEX(H82:H121,MATCH(E152,I82:I121,0)),IFERROR(INDEX(OFFSET(J82:J121,0,-2),MATCH(TRUE,($J$82:$J$121)&gt;=IF(E147&gt;100,100,E147),0)),INDEX(OFFSET($J$82:$J$121,0,-2),MATCH(MAX($J$82:$J$121),$J$82:$J$121,0))))</f>
        <v>#N/A</v>
      </c>
      <c r="K126" s="160" t="e" cm="1">
        <f t="array" aca="1" ref="K126" ca="1">IF(IFERROR(INDEX(OFFSET(K82:K121,0,-2),MATCH(TRUE,($K$82:$K$121)&gt;=IF(E147&gt;100,100,E147),0)),MAX(I82:I121))&lt;E152,INDEX(H82:H121,MATCH(E152,I82:I121,0)),IFERROR(INDEX(OFFSET(K82:K121,0,-3),MATCH(TRUE,($K$82:$K$121)&gt;=IF(E147&gt;100,100,E147),0)),INDEX(OFFSET($K$82:$K$121,0,-3),MATCH(MAX($K$82:$K$121),$K$82:$K$121,0))))</f>
        <v>#N/A</v>
      </c>
      <c r="L126" s="161"/>
      <c r="M126" s="161"/>
      <c r="O126" s="493"/>
      <c r="P126" s="493"/>
      <c r="Q126"/>
      <c r="AA126"/>
      <c r="AB126"/>
      <c r="AC126"/>
      <c r="AD126"/>
      <c r="AE126"/>
      <c r="AF126"/>
      <c r="AG126"/>
      <c r="AH126"/>
      <c r="AI126"/>
      <c r="AJ126"/>
      <c r="AK126"/>
      <c r="AL126"/>
      <c r="AM126"/>
      <c r="AN126"/>
    </row>
    <row r="127" spans="2:40" x14ac:dyDescent="0.25">
      <c r="I127" s="92" t="s">
        <v>634</v>
      </c>
      <c r="J127" s="162" t="e">
        <f ca="1">VLOOKUP(J126,H82:I125,2,FALSE)</f>
        <v>#N/A</v>
      </c>
      <c r="K127" s="163" t="e">
        <f ca="1">VLOOKUP(K126,H82:I125,2,FALSE)</f>
        <v>#N/A</v>
      </c>
      <c r="L127" s="164"/>
      <c r="M127" s="164"/>
      <c r="O127" s="493"/>
      <c r="P127" s="493"/>
      <c r="AA127"/>
      <c r="AB127"/>
      <c r="AC127"/>
      <c r="AD127"/>
      <c r="AE127"/>
      <c r="AF127"/>
      <c r="AG127"/>
      <c r="AH127"/>
      <c r="AI127"/>
      <c r="AJ127"/>
      <c r="AK127"/>
      <c r="AL127"/>
      <c r="AM127"/>
      <c r="AN127"/>
    </row>
    <row r="128" spans="2:40" ht="15.75" thickBot="1" x14ac:dyDescent="0.3">
      <c r="B128"/>
      <c r="C128"/>
      <c r="D128"/>
      <c r="E128"/>
      <c r="F128"/>
      <c r="J128" s="165">
        <f>IF(G89=J81,J127,0)</f>
        <v>0</v>
      </c>
      <c r="K128" s="166">
        <f>IF(G89=K81,K127,0)</f>
        <v>0</v>
      </c>
      <c r="L128" s="167"/>
      <c r="M128" s="167"/>
      <c r="N128"/>
      <c r="O128" s="493"/>
      <c r="P128" s="493"/>
      <c r="AA128"/>
      <c r="AB128"/>
      <c r="AC128"/>
      <c r="AD128"/>
      <c r="AE128"/>
      <c r="AF128"/>
      <c r="AG128"/>
      <c r="AH128"/>
      <c r="AI128"/>
      <c r="AJ128"/>
      <c r="AK128"/>
      <c r="AL128"/>
      <c r="AM128"/>
      <c r="AN128"/>
    </row>
    <row r="129" spans="1:40" x14ac:dyDescent="0.25">
      <c r="B129" s="706" t="str">
        <f>'NonQM (LP)'!S55</f>
        <v>Max Price</v>
      </c>
      <c r="C129" s="707"/>
      <c r="D129" s="708"/>
      <c r="E129" s="168" t="s">
        <v>635</v>
      </c>
      <c r="F129"/>
      <c r="J129" s="162" t="e">
        <f ca="1">VLOOKUP(J126,H82:J125,3,FALSE)</f>
        <v>#N/A</v>
      </c>
      <c r="K129" s="163" t="e">
        <f ca="1">VLOOKUP(K126,H82:K125,4,FALSE)</f>
        <v>#N/A</v>
      </c>
      <c r="L129" s="169"/>
      <c r="M129" s="169"/>
      <c r="N129"/>
      <c r="O129" s="493"/>
      <c r="P129" s="493"/>
      <c r="AA129"/>
      <c r="AB129"/>
      <c r="AC129"/>
      <c r="AD129"/>
      <c r="AE129"/>
      <c r="AF129"/>
      <c r="AG129"/>
      <c r="AH129"/>
      <c r="AI129"/>
      <c r="AJ129"/>
      <c r="AK129"/>
      <c r="AL129"/>
      <c r="AM129"/>
      <c r="AN129"/>
    </row>
    <row r="130" spans="1:40" ht="15.75" thickBot="1" x14ac:dyDescent="0.3">
      <c r="B130" s="709" t="str">
        <f>'NonQM (LP)'!S56</f>
        <v>Owner/2nd Home</v>
      </c>
      <c r="C130" s="710"/>
      <c r="D130" s="500">
        <f>'NonQM (LP)'!T56</f>
        <v>102</v>
      </c>
      <c r="E130" s="487" t="str" cm="1">
        <f t="array" ref="E130">IF(OR('NonQM (LP)'!U23=L3:L4),D130,"")</f>
        <v/>
      </c>
      <c r="F130"/>
      <c r="J130" s="173">
        <f>IF(G89=J81,J129,0)</f>
        <v>0</v>
      </c>
      <c r="K130" s="174">
        <f>IF(G89=K81,K129,0)</f>
        <v>0</v>
      </c>
      <c r="L130" s="175"/>
      <c r="M130" s="176"/>
      <c r="N130" s="142">
        <f>SUM(J128:M128)</f>
        <v>0</v>
      </c>
      <c r="O130" s="493"/>
      <c r="P130" s="493"/>
      <c r="AA130"/>
      <c r="AB130"/>
      <c r="AC130"/>
      <c r="AD130"/>
      <c r="AE130"/>
      <c r="AF130"/>
      <c r="AG130"/>
      <c r="AH130"/>
      <c r="AI130"/>
      <c r="AJ130"/>
      <c r="AK130"/>
      <c r="AL130"/>
      <c r="AM130"/>
      <c r="AN130"/>
    </row>
    <row r="131" spans="1:40" x14ac:dyDescent="0.25">
      <c r="B131" s="709" t="str">
        <f>'NonQM (LP)'!S57</f>
        <v>&gt;$2,500,000</v>
      </c>
      <c r="C131" s="710"/>
      <c r="D131" s="501">
        <f>'NonQM (LP)'!T57</f>
        <v>101</v>
      </c>
      <c r="E131" s="487" t="str" cm="1">
        <f t="array" ref="E131">IF(OR('NonQM (LP)'!U21=G10:G13),D131,"")</f>
        <v/>
      </c>
      <c r="F131"/>
      <c r="AA131"/>
      <c r="AB131"/>
      <c r="AC131"/>
      <c r="AD131"/>
      <c r="AE131"/>
      <c r="AF131"/>
      <c r="AG131"/>
      <c r="AH131"/>
      <c r="AI131"/>
      <c r="AJ131"/>
      <c r="AK131"/>
      <c r="AL131"/>
      <c r="AM131"/>
      <c r="AN131"/>
    </row>
    <row r="132" spans="1:40" x14ac:dyDescent="0.25">
      <c r="B132" s="709" t="str">
        <f>'NonQM (LP)'!S58</f>
        <v>80.01-90.00% LTV</v>
      </c>
      <c r="C132" s="710"/>
      <c r="D132" s="501">
        <f>'NonQM (LP)'!T58</f>
        <v>101</v>
      </c>
      <c r="E132" s="487" t="str" cm="1">
        <f t="array" ref="E132">IF(OR('NonQM (LP)'!U11=B10:B11),D132,"")</f>
        <v/>
      </c>
      <c r="F132"/>
      <c r="N132" s="142">
        <f>SUM(J130:M130)</f>
        <v>0</v>
      </c>
      <c r="AA132"/>
      <c r="AB132"/>
      <c r="AC132"/>
      <c r="AD132"/>
      <c r="AE132"/>
      <c r="AF132"/>
      <c r="AG132"/>
      <c r="AH132"/>
      <c r="AI132"/>
      <c r="AJ132"/>
      <c r="AK132"/>
      <c r="AL132"/>
      <c r="AM132"/>
      <c r="AN132"/>
    </row>
    <row r="133" spans="1:40" ht="15.75" thickBot="1" x14ac:dyDescent="0.3">
      <c r="B133" s="709" t="str">
        <f>'NonQM (LP)'!S59</f>
        <v>ITIN/Foreign National</v>
      </c>
      <c r="C133" s="710"/>
      <c r="D133" s="501">
        <f>'NonQM (LP)'!T59</f>
        <v>100.5</v>
      </c>
      <c r="E133" s="487" t="str" cm="1">
        <f t="array" ref="E133">IF(OR('NonQM (LP)'!U19=P6:P7),D133,"")</f>
        <v/>
      </c>
      <c r="F133"/>
      <c r="G133"/>
      <c r="H133"/>
      <c r="I133"/>
      <c r="J133"/>
      <c r="K133"/>
      <c r="L133"/>
      <c r="M133"/>
      <c r="AA133"/>
      <c r="AB133"/>
      <c r="AC133"/>
      <c r="AD133"/>
      <c r="AE133"/>
      <c r="AF133"/>
      <c r="AG133"/>
      <c r="AH133"/>
      <c r="AI133"/>
      <c r="AJ133"/>
      <c r="AK133"/>
      <c r="AL133"/>
      <c r="AM133"/>
      <c r="AN133"/>
    </row>
    <row r="134" spans="1:40" x14ac:dyDescent="0.25">
      <c r="B134" s="709" t="str">
        <f>'NonQM (LP)'!S60</f>
        <v>Subord Financing</v>
      </c>
      <c r="C134" s="710"/>
      <c r="D134" s="501">
        <f>'NonQM (LP)'!T60</f>
        <v>100</v>
      </c>
      <c r="E134" s="487" t="str">
        <f>IF(OR('NonQM (LP)'!U32=S4),D134,"")</f>
        <v/>
      </c>
      <c r="F134"/>
      <c r="G134"/>
      <c r="H134"/>
      <c r="I134" s="699" t="s">
        <v>636</v>
      </c>
      <c r="J134" s="700"/>
      <c r="K134" s="177">
        <f>IF(L134="","",N130)</f>
        <v>0</v>
      </c>
      <c r="L134" s="178">
        <f>IF(N132&gt;E147,E147,N132)</f>
        <v>0</v>
      </c>
      <c r="M134"/>
      <c r="X134"/>
      <c r="Y134"/>
      <c r="Z134"/>
      <c r="AA134"/>
      <c r="AB134"/>
      <c r="AC134"/>
      <c r="AD134"/>
      <c r="AE134"/>
      <c r="AF134"/>
      <c r="AG134"/>
      <c r="AH134"/>
      <c r="AI134"/>
      <c r="AJ134"/>
      <c r="AK134"/>
    </row>
    <row r="135" spans="1:40" ht="15.75" thickBot="1" x14ac:dyDescent="0.3">
      <c r="B135" s="709" t="str">
        <f>'NonQM (LP)'!S61</f>
        <v>No PPP</v>
      </c>
      <c r="C135" s="710"/>
      <c r="D135" s="501">
        <f>'NonQM (LP)'!T61</f>
        <v>100</v>
      </c>
      <c r="E135" s="487" t="str">
        <f>IF(AND(ISNUMBER(MATCH('NonQM (LP)'!U23,L5:L6,0)),OR(ISNUMBER(MATCH('NonQM (LP)'!U27,H3:H4,0)),)),D135,"")</f>
        <v/>
      </c>
      <c r="F135"/>
      <c r="G135"/>
      <c r="H135"/>
      <c r="I135" s="704"/>
      <c r="J135" s="705"/>
      <c r="K135" s="179"/>
      <c r="L135" s="180"/>
      <c r="M135"/>
      <c r="X135"/>
      <c r="Y135"/>
      <c r="Z135"/>
      <c r="AA135"/>
      <c r="AB135"/>
      <c r="AC135"/>
      <c r="AD135"/>
      <c r="AE135"/>
      <c r="AF135"/>
      <c r="AG135"/>
      <c r="AH135"/>
      <c r="AI135"/>
      <c r="AJ135"/>
      <c r="AK135"/>
    </row>
    <row r="136" spans="1:40" x14ac:dyDescent="0.25">
      <c r="A136" s="92" t="s">
        <v>637</v>
      </c>
      <c r="B136" s="709" t="str">
        <f>'NonQM (LP)'!S62</f>
        <v>12 Months PPP</v>
      </c>
      <c r="C136" s="710"/>
      <c r="D136" s="501">
        <f>'NonQM (LP)'!T62</f>
        <v>101.5</v>
      </c>
      <c r="E136" s="487" t="str">
        <f>IF(AND(ISNUMBER(MATCH('NonQM (LP)'!U23,L5:L6,0)),OR(ISNUMBER(MATCH('NonQM (LP)'!U27,H5,0)),ISNUMBER(MATCH('NonQM (LP)'!U27,H10,0)))),D136,"")</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9" t="str">
        <f>'NonQM (LP)'!S63</f>
        <v>24 Months PPP</v>
      </c>
      <c r="C137" s="710"/>
      <c r="D137" s="500">
        <f>'NonQM (LP)'!T63</f>
        <v>102</v>
      </c>
      <c r="E137" s="487" t="str">
        <f>IF(AND(ISNUMBER(MATCH('NonQM (LP)'!U23,L5:L6,0)),OR(ISNUMBER(MATCH('NonQM (LP)'!U27,H6,0)),ISNUMBER(MATCH('NonQM (LP)'!U27,H11,0)))),D137,"")</f>
        <v/>
      </c>
      <c r="F137"/>
      <c r="G137"/>
      <c r="H137"/>
      <c r="I137"/>
      <c r="J137"/>
      <c r="K137"/>
      <c r="L137"/>
      <c r="M137"/>
      <c r="X137"/>
      <c r="Y137"/>
      <c r="Z137"/>
      <c r="AA137"/>
      <c r="AB137"/>
      <c r="AC137"/>
      <c r="AD137"/>
      <c r="AE137"/>
      <c r="AF137"/>
      <c r="AG137"/>
      <c r="AH137"/>
      <c r="AI137"/>
      <c r="AJ137"/>
      <c r="AK137"/>
    </row>
    <row r="138" spans="1:40" x14ac:dyDescent="0.25">
      <c r="A138" s="92" t="s">
        <v>176</v>
      </c>
      <c r="B138" s="709" t="str">
        <f>'NonQM (LP)'!S64</f>
        <v>36-60 Months PPP</v>
      </c>
      <c r="C138" s="710"/>
      <c r="D138" s="500">
        <f>'NonQM (LP)'!T64</f>
        <v>102.5</v>
      </c>
      <c r="E138" s="487" t="str">
        <f>IF(AND(ISNUMBER(MATCH('NonQM (LP)'!U23,L5:L7,0)),OR(ISNUMBER(MATCH('NonQM (LP)'!U27,H7:H9,0)),ISNUMBER(MATCH('NonQM (LP)'!U27,H12:H14,0)))),D138, "")</f>
        <v/>
      </c>
      <c r="F138"/>
      <c r="G138"/>
      <c r="H138"/>
      <c r="I138"/>
      <c r="J138"/>
      <c r="K138"/>
      <c r="L138"/>
      <c r="M138"/>
      <c r="X138"/>
      <c r="Y138"/>
      <c r="Z138"/>
      <c r="AA138"/>
      <c r="AB138"/>
      <c r="AC138"/>
      <c r="AD138"/>
      <c r="AE138"/>
      <c r="AF138"/>
      <c r="AG138"/>
      <c r="AH138"/>
      <c r="AI138"/>
      <c r="AJ138"/>
      <c r="AK138"/>
    </row>
    <row r="139" spans="1:40" x14ac:dyDescent="0.25">
      <c r="A139" s="92" t="s">
        <v>637</v>
      </c>
      <c r="B139" s="709" t="str">
        <f>'NonQM (LP)'!S57</f>
        <v>&gt;$2,500,000</v>
      </c>
      <c r="C139" s="710"/>
      <c r="D139" s="500">
        <f>'NonQM (LP)'!T57</f>
        <v>101</v>
      </c>
      <c r="E139" s="487" t="str" cm="1">
        <f t="array" ref="E139">IF(OR('NonQM (LP)'!U21=G10:G13),D139,"")</f>
        <v/>
      </c>
      <c r="F139"/>
      <c r="G139"/>
      <c r="H139"/>
      <c r="I139"/>
      <c r="J139"/>
      <c r="K139"/>
      <c r="L139"/>
      <c r="M139"/>
      <c r="X139"/>
      <c r="Y139"/>
      <c r="Z139"/>
      <c r="AA139"/>
      <c r="AB139"/>
      <c r="AC139"/>
      <c r="AD139"/>
      <c r="AE139"/>
      <c r="AF139"/>
      <c r="AG139"/>
      <c r="AH139"/>
      <c r="AI139"/>
      <c r="AJ139"/>
      <c r="AK139"/>
    </row>
    <row r="140" spans="1:40" x14ac:dyDescent="0.25">
      <c r="A140" s="92" t="s">
        <v>176</v>
      </c>
      <c r="B140" s="709"/>
      <c r="C140" s="710"/>
      <c r="D140" s="500"/>
      <c r="E140" s="487"/>
      <c r="F140"/>
      <c r="G140"/>
      <c r="H140"/>
      <c r="I140"/>
      <c r="J140"/>
      <c r="K140"/>
      <c r="L140"/>
      <c r="M140"/>
    </row>
    <row r="141" spans="1:40" x14ac:dyDescent="0.25">
      <c r="B141" s="709"/>
      <c r="C141" s="710"/>
      <c r="D141" s="500"/>
      <c r="E141" s="487"/>
      <c r="F141"/>
      <c r="G141"/>
      <c r="H141"/>
      <c r="I141"/>
      <c r="J141"/>
      <c r="K141"/>
      <c r="L141"/>
      <c r="M141"/>
    </row>
    <row r="142" spans="1:40" x14ac:dyDescent="0.25">
      <c r="A142" s="92" t="s">
        <v>176</v>
      </c>
      <c r="B142" s="713"/>
      <c r="C142" s="714"/>
      <c r="D142" s="500"/>
      <c r="E142" s="488"/>
      <c r="F142"/>
      <c r="G142"/>
      <c r="H142"/>
      <c r="I142"/>
      <c r="J142"/>
      <c r="K142"/>
      <c r="L142"/>
      <c r="M142"/>
    </row>
    <row r="143" spans="1:40" x14ac:dyDescent="0.25">
      <c r="B143" s="713" t="str">
        <f>'NonQM (LP)'!S66</f>
        <v>NC Floor Price</v>
      </c>
      <c r="C143" s="714"/>
      <c r="D143" s="500">
        <f>'NonQM (LP)'!T66</f>
        <v>99.75</v>
      </c>
      <c r="E143" s="488" t="str" cm="1">
        <f t="array" ref="E143">IF(AND('NonQM (LP)'!S29=T16,OR('NonQM (LP)'!S23=L5:L6),'NonQM (LP)'!S27=H3),D143,"")</f>
        <v/>
      </c>
      <c r="F143"/>
      <c r="G143"/>
      <c r="H143"/>
      <c r="I143"/>
      <c r="J143"/>
      <c r="K143"/>
      <c r="L143"/>
      <c r="M143"/>
    </row>
    <row r="144" spans="1:40" x14ac:dyDescent="0.25">
      <c r="B144" s="709"/>
      <c r="C144" s="710"/>
      <c r="D144" s="502"/>
      <c r="E144" s="172"/>
      <c r="F144"/>
      <c r="G144"/>
      <c r="H144"/>
      <c r="I144"/>
      <c r="J144"/>
      <c r="K144"/>
      <c r="L144"/>
      <c r="M144"/>
    </row>
    <row r="145" spans="2:23" x14ac:dyDescent="0.25">
      <c r="B145" s="170"/>
      <c r="C145" s="171"/>
      <c r="D145" s="502"/>
      <c r="E145" s="172"/>
      <c r="F145"/>
      <c r="G145"/>
      <c r="H145"/>
      <c r="I145"/>
      <c r="J145"/>
      <c r="K145"/>
      <c r="L145"/>
      <c r="M145"/>
    </row>
    <row r="146" spans="2:23" ht="15.75" thickBot="1" x14ac:dyDescent="0.3">
      <c r="B146" s="503"/>
      <c r="C146" s="504"/>
      <c r="D146" s="505"/>
      <c r="E146" s="562"/>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187" t="str">
        <f>'NonQM (LP)'!S68</f>
        <v>&gt;$2,500,000</v>
      </c>
      <c r="C150" s="188"/>
      <c r="D150" s="598">
        <f>'NonQM (LP)'!T68</f>
        <v>6.625</v>
      </c>
      <c r="E150" s="172" t="str" cm="1">
        <f t="array" ref="E150">IF(OR('NonQM (LP)'!U21=G10:G13),D150,"")</f>
        <v/>
      </c>
      <c r="F150"/>
      <c r="G150"/>
      <c r="H150"/>
      <c r="I150"/>
      <c r="J150"/>
      <c r="K150"/>
      <c r="L150"/>
      <c r="M150"/>
    </row>
    <row r="151" spans="2:23" ht="15.75" thickBot="1" x14ac:dyDescent="0.3">
      <c r="B151" s="187" t="str">
        <f>'NonQM (LP)'!S69</f>
        <v>ITIN/Foreign National</v>
      </c>
      <c r="C151" s="188"/>
      <c r="D151" s="598">
        <f>'NonQM (LP)'!T69</f>
        <v>7.375</v>
      </c>
      <c r="E151" s="172" t="str" cm="1">
        <f t="array" ref="E151">IF(OR('NonQM (LP)'!U19=P6:P7),D151,"")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6"/>
      <c r="F159" s="618" t="s">
        <v>930</v>
      </c>
      <c r="G159"/>
      <c r="H159"/>
      <c r="I159"/>
      <c r="J159"/>
      <c r="K159"/>
      <c r="L159"/>
      <c r="M159"/>
      <c r="T159" s="462" t="s">
        <v>765</v>
      </c>
    </row>
    <row r="160" spans="2:23" x14ac:dyDescent="0.25">
      <c r="B160"/>
      <c r="C160"/>
      <c r="D160"/>
      <c r="E160"/>
      <c r="F160"/>
      <c r="G160"/>
      <c r="H160"/>
      <c r="I160"/>
      <c r="J160"/>
      <c r="K160"/>
      <c r="L160"/>
      <c r="M160"/>
      <c r="T160" s="462" t="s">
        <v>31</v>
      </c>
      <c r="U160" s="462" t="s">
        <v>765</v>
      </c>
      <c r="V160" s="463"/>
      <c r="W160" s="464"/>
    </row>
    <row r="161" spans="2:23" ht="35.25" customHeight="1" x14ac:dyDescent="0.25">
      <c r="B161" s="695" t="s">
        <v>11</v>
      </c>
      <c r="C161" s="696"/>
      <c r="D161" s="13" t="s">
        <v>12</v>
      </c>
      <c r="E161" s="13" t="s">
        <v>13</v>
      </c>
      <c r="F161" s="13" t="s">
        <v>14</v>
      </c>
      <c r="G161" s="13" t="s">
        <v>15</v>
      </c>
      <c r="H161" s="13" t="s">
        <v>16</v>
      </c>
      <c r="I161" s="13" t="s">
        <v>17</v>
      </c>
      <c r="J161" s="13" t="s">
        <v>18</v>
      </c>
      <c r="K161" s="13" t="s">
        <v>19</v>
      </c>
      <c r="L161" s="12" t="s">
        <v>20</v>
      </c>
      <c r="M161"/>
      <c r="O161" s="119" t="s">
        <v>639</v>
      </c>
      <c r="T161" s="467" t="s">
        <v>766</v>
      </c>
      <c r="U161" s="467" t="s">
        <v>766</v>
      </c>
      <c r="V161" s="465" t="s">
        <v>778</v>
      </c>
      <c r="W161" s="466">
        <v>0</v>
      </c>
    </row>
    <row r="162" spans="2:23" ht="27" x14ac:dyDescent="0.25">
      <c r="B162" s="648" t="s">
        <v>95</v>
      </c>
      <c r="C162" s="650"/>
      <c r="D162" s="650"/>
      <c r="E162" s="650"/>
      <c r="F162" s="650"/>
      <c r="G162" s="650"/>
      <c r="H162" s="650"/>
      <c r="I162" s="650"/>
      <c r="J162" s="650"/>
      <c r="K162" s="650"/>
      <c r="L162" s="649"/>
      <c r="M162"/>
      <c r="N162" s="102" t="s">
        <v>31</v>
      </c>
      <c r="O162" s="352" t="s">
        <v>52</v>
      </c>
      <c r="P162" s="353" t="s">
        <v>50</v>
      </c>
      <c r="Q162" s="353" t="s">
        <v>640</v>
      </c>
      <c r="R162" s="353" t="s">
        <v>641</v>
      </c>
      <c r="T162" s="467" t="s">
        <v>767</v>
      </c>
      <c r="U162" s="467" t="s">
        <v>767</v>
      </c>
      <c r="V162" s="465" t="s">
        <v>779</v>
      </c>
      <c r="W162" s="466">
        <v>0.15</v>
      </c>
    </row>
    <row r="163" spans="2:23" ht="27" x14ac:dyDescent="0.25">
      <c r="B163" s="348" t="s">
        <v>213</v>
      </c>
      <c r="C163" s="349"/>
      <c r="D163" s="22">
        <v>0</v>
      </c>
      <c r="E163" s="22">
        <v>0</v>
      </c>
      <c r="F163" s="22">
        <v>0</v>
      </c>
      <c r="G163" s="22">
        <v>0</v>
      </c>
      <c r="H163" s="22">
        <v>0</v>
      </c>
      <c r="I163" s="22">
        <v>0</v>
      </c>
      <c r="J163" s="22">
        <v>0</v>
      </c>
      <c r="K163" s="22">
        <v>0</v>
      </c>
      <c r="L163" s="23">
        <v>0</v>
      </c>
      <c r="M163"/>
      <c r="N163" s="92" t="s">
        <v>135</v>
      </c>
      <c r="O163" s="350" t="e">
        <f>IF(OR($O$164="", $O$165="", $O$165="Choose a Selection"),0,
   INDEX($D$163:$L$218,
         MATCH($O$165,$B$163:$B$218,0),
         MATCH($O$164,$D$161:$L$161,0)))</f>
        <v>#N/A</v>
      </c>
      <c r="P163" s="350">
        <f>IF(OR($P$164="", $P$165="", $P$165="Choose a Selection"),0,
   INDEX($D$163:$L$218,
         MATCH($P$165,$B$163:$B$218,0),
         MATCH($P$164,$D$161:$L$161,0)))</f>
        <v>0</v>
      </c>
      <c r="Q163" s="350">
        <f>IF(OR($Q$164="", $Q$165="",$Q$165="Choose a Selection"),0,
   INDEX($D$163:$L$218,
         MATCH($Q$165,$B$163:$B$218,0),
         MATCH($Q$164,$D$161:$L$161,0)))</f>
        <v>0</v>
      </c>
      <c r="R163" s="350">
        <f>IF(OR($R$164="", $R$165="",$R$165="Choose a Selection"),0,
   INDEX($D$163:$L$218,
         MATCH($R$165,$B$163:$B$218,0),
         MATCH($R$164,$D$161:$L$161,0)))</f>
        <v>0</v>
      </c>
      <c r="T163" s="467" t="s">
        <v>768</v>
      </c>
      <c r="U163" s="467" t="s">
        <v>768</v>
      </c>
      <c r="V163" s="465" t="s">
        <v>780</v>
      </c>
      <c r="W163" s="466">
        <v>0.25</v>
      </c>
    </row>
    <row r="164" spans="2:23" x14ac:dyDescent="0.25">
      <c r="B164" s="348" t="s">
        <v>238</v>
      </c>
      <c r="C164" s="349"/>
      <c r="D164" s="615">
        <f>'NonQM (LP)'!H51</f>
        <v>0</v>
      </c>
      <c r="E164" s="615">
        <f>'NonQM (LP)'!I51</f>
        <v>0</v>
      </c>
      <c r="F164" s="615">
        <f>'NonQM (LP)'!J51</f>
        <v>-0.125</v>
      </c>
      <c r="G164" s="615">
        <f>'NonQM (LP)'!K51</f>
        <v>-0.375</v>
      </c>
      <c r="H164" s="615">
        <f>'NonQM (LP)'!L51</f>
        <v>-0.375</v>
      </c>
      <c r="I164" s="615">
        <f>'NonQM (LP)'!M51</f>
        <v>-0.375</v>
      </c>
      <c r="J164" s="615">
        <f>'NonQM (LP)'!N51</f>
        <v>-0.375</v>
      </c>
      <c r="K164" s="615">
        <f>'NonQM (LP)'!O51</f>
        <v>-0.5</v>
      </c>
      <c r="L164" s="615" t="e">
        <f>'NonQM (LP)'!P51</f>
        <v>#N/A</v>
      </c>
      <c r="M164"/>
      <c r="N164" s="92" t="s">
        <v>53</v>
      </c>
      <c r="O164" s="351" t="str">
        <f>'NonQM (LP)'!$U$11</f>
        <v>Choose a Selection</v>
      </c>
      <c r="P164" s="351" t="str">
        <f>'NonQM (LP)'!$U$11</f>
        <v>Choose a Selection</v>
      </c>
      <c r="Q164" s="351" t="str">
        <f>'NonQM (LP)'!$U$11</f>
        <v>Choose a Selection</v>
      </c>
      <c r="R164" s="351" t="str">
        <f>'NonQM (LP)'!$U$11</f>
        <v>Choose a Selection</v>
      </c>
      <c r="U164"/>
      <c r="V164"/>
      <c r="W164"/>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t="str">
        <f>'NonQM (LP)'!U25</f>
        <v>30YR Fixed</v>
      </c>
      <c r="P165" s="351" t="str">
        <f>'NonQM (LP)'!U24</f>
        <v>Choose a Selection</v>
      </c>
      <c r="Q165" s="351" t="str">
        <f>'NonQM (LP)'!U20</f>
        <v>Choose a Selection</v>
      </c>
      <c r="R165" s="351" t="str">
        <f>'NonQM (LP)'!U19</f>
        <v>Choose a Selection</v>
      </c>
      <c r="U165"/>
      <c r="V165"/>
      <c r="W165"/>
    </row>
    <row r="166" spans="2:23" x14ac:dyDescent="0.25">
      <c r="B166" s="348" t="s">
        <v>229</v>
      </c>
      <c r="C166" s="349"/>
      <c r="D166" s="22">
        <v>-0.375</v>
      </c>
      <c r="E166" s="22">
        <v>-0.5</v>
      </c>
      <c r="F166" s="22">
        <v>-0.5</v>
      </c>
      <c r="G166" s="22">
        <v>-0.75</v>
      </c>
      <c r="H166" s="22">
        <v>-0.75</v>
      </c>
      <c r="I166" s="22">
        <v>-0.75</v>
      </c>
      <c r="J166" s="22">
        <v>-0.75</v>
      </c>
      <c r="K166" s="22">
        <v>-1</v>
      </c>
      <c r="L166" s="23" t="e">
        <v>#N/A</v>
      </c>
      <c r="M166"/>
      <c r="N166" s="92" t="s">
        <v>239</v>
      </c>
      <c r="U166"/>
      <c r="V166"/>
      <c r="W166"/>
    </row>
    <row r="167" spans="2:23" x14ac:dyDescent="0.25">
      <c r="B167" s="348" t="s">
        <v>237</v>
      </c>
      <c r="C167" s="349"/>
      <c r="D167" s="22">
        <v>0</v>
      </c>
      <c r="E167" s="22">
        <v>0</v>
      </c>
      <c r="F167" s="22">
        <v>0</v>
      </c>
      <c r="G167" s="22">
        <v>0</v>
      </c>
      <c r="H167" s="22">
        <v>0</v>
      </c>
      <c r="I167" s="22">
        <v>0</v>
      </c>
      <c r="J167" s="22">
        <v>0</v>
      </c>
      <c r="K167" s="22">
        <v>0</v>
      </c>
      <c r="L167" s="23" t="e">
        <v>#N/A</v>
      </c>
      <c r="M167"/>
      <c r="N167" s="92" t="s">
        <v>140</v>
      </c>
      <c r="O167" s="353" t="s">
        <v>30</v>
      </c>
      <c r="P167" s="353" t="s">
        <v>49</v>
      </c>
      <c r="Q167" s="353" t="s">
        <v>55</v>
      </c>
      <c r="R167" s="353" t="s">
        <v>202</v>
      </c>
    </row>
    <row r="168" spans="2:23" x14ac:dyDescent="0.25">
      <c r="B168" s="348" t="s">
        <v>98</v>
      </c>
      <c r="C168" s="349"/>
      <c r="D168" s="22">
        <v>-1</v>
      </c>
      <c r="E168" s="22">
        <v>-1</v>
      </c>
      <c r="F168" s="22">
        <v>-1</v>
      </c>
      <c r="G168" s="22">
        <v>-1</v>
      </c>
      <c r="H168" s="22">
        <v>-1.25</v>
      </c>
      <c r="I168" s="22">
        <v>-1.5</v>
      </c>
      <c r="J168" s="22" t="e">
        <v>#N/A</v>
      </c>
      <c r="K168" s="22" t="e">
        <v>#N/A</v>
      </c>
      <c r="L168" s="23" t="e">
        <v>#N/A</v>
      </c>
      <c r="M168"/>
      <c r="N168" s="92" t="s">
        <v>142</v>
      </c>
      <c r="O168" s="354">
        <f>IF(OR($O$169="", $O$170="", $O$170="Choose a Selection"),0,
   INDEX($D$163:$L$218,
         MATCH($O$170,$B$163:$B$218,0),
         MATCH($O$169,$D$161:$L$161,0)))</f>
        <v>0</v>
      </c>
      <c r="P168" s="350">
        <f>IF(OR($P$169="", $P$170="", $P$170="Choose a Selection"),0,
   INDEX($D$163:$L$218,
         MATCH($P$170,$B$163:$B$218,0),
         MATCH($P$169,$D$161:$L$161,0)))</f>
        <v>0</v>
      </c>
      <c r="Q168" s="350" t="e">
        <f>IF(OR($Q$169="", $Q$170="", $Q$170="Choose a Selection"),0,
   INDEX($D$163:$L$218,
         MATCH($Q$170,$B$163:$B$218,0),
         MATCH($Q$169,$D$161:$L$161,0)))</f>
        <v>#N/A</v>
      </c>
      <c r="R168" s="350" t="e">
        <f>IF(OR($R$169="", $R$170="", $R$170="Choose a Selection"),0,
   INDEX($D$163:$L$218,
         MATCH($R$170,$B$163:$B$218,0),
         MATCH($R$169,$D$161:$L$161,0)))</f>
        <v>#N/A</v>
      </c>
    </row>
    <row r="169" spans="2:23" x14ac:dyDescent="0.25">
      <c r="B169" s="348" t="s">
        <v>99</v>
      </c>
      <c r="C169" s="349"/>
      <c r="D169" s="22">
        <v>0</v>
      </c>
      <c r="E169" s="22">
        <v>0</v>
      </c>
      <c r="F169" s="22">
        <v>0</v>
      </c>
      <c r="G169" s="22">
        <v>0</v>
      </c>
      <c r="H169" s="22">
        <v>0</v>
      </c>
      <c r="I169" s="22">
        <v>0</v>
      </c>
      <c r="J169" s="22">
        <v>0</v>
      </c>
      <c r="K169" s="22">
        <v>0</v>
      </c>
      <c r="L169" s="23" t="e">
        <v>#N/A</v>
      </c>
      <c r="M169"/>
      <c r="N169" s="92" t="s">
        <v>249</v>
      </c>
      <c r="O169" s="351" t="str">
        <f>'NonQM (LP)'!$U$11</f>
        <v>Choose a Selection</v>
      </c>
      <c r="P169" s="355" t="str">
        <f>'NonQM (LP)'!$U$11</f>
        <v>Choose a Selection</v>
      </c>
      <c r="Q169" s="355" t="str">
        <f>'NonQM (LP)'!$U$11</f>
        <v>Choose a Selection</v>
      </c>
      <c r="R169" s="355" t="str">
        <f>'NonQM (LP)'!$U$11</f>
        <v>Choose a Selection</v>
      </c>
    </row>
    <row r="170" spans="2:23" x14ac:dyDescent="0.25">
      <c r="B170" s="348" t="s">
        <v>100</v>
      </c>
      <c r="C170" s="349"/>
      <c r="D170" s="22">
        <v>-0.125</v>
      </c>
      <c r="E170" s="22">
        <v>-0.125</v>
      </c>
      <c r="F170" s="22">
        <v>-0.25</v>
      </c>
      <c r="G170" s="22">
        <v>-0.25</v>
      </c>
      <c r="H170" s="22">
        <v>-0.25</v>
      </c>
      <c r="I170" s="22">
        <v>-0.5</v>
      </c>
      <c r="J170" s="22">
        <v>-0.625</v>
      </c>
      <c r="K170" s="22" t="e">
        <v>#N/A</v>
      </c>
      <c r="L170" s="23" t="e">
        <v>#N/A</v>
      </c>
      <c r="M170"/>
      <c r="N170" s="92" t="s">
        <v>144</v>
      </c>
      <c r="O170" s="354" t="str">
        <f>'NonQM (LP)'!U14</f>
        <v>Choose a Selection</v>
      </c>
      <c r="P170" s="350" t="str">
        <f>'NonQM (LP)'!U23</f>
        <v>Choose a Selection</v>
      </c>
      <c r="Q170" s="350" t="str">
        <f>'NonQM (LP)'!U26</f>
        <v>Escrow Not Waived</v>
      </c>
      <c r="R170" s="350" t="str">
        <f>'NonQM (LP)'!U30</f>
        <v>30 Day</v>
      </c>
    </row>
    <row r="171" spans="2:23" x14ac:dyDescent="0.25">
      <c r="B171" s="348" t="s">
        <v>248</v>
      </c>
      <c r="C171" s="349"/>
      <c r="D171" s="22">
        <v>0</v>
      </c>
      <c r="E171" s="22">
        <v>0</v>
      </c>
      <c r="F171" s="22">
        <v>0</v>
      </c>
      <c r="G171" s="22">
        <v>0</v>
      </c>
      <c r="H171" s="22">
        <v>0</v>
      </c>
      <c r="I171" s="22">
        <v>0</v>
      </c>
      <c r="J171" s="22">
        <v>0</v>
      </c>
      <c r="K171" s="22">
        <v>0</v>
      </c>
      <c r="L171" s="23">
        <v>0</v>
      </c>
      <c r="M171"/>
      <c r="N171" s="92" t="s">
        <v>147</v>
      </c>
    </row>
    <row r="172" spans="2:23" x14ac:dyDescent="0.25">
      <c r="B172" s="348" t="s">
        <v>212</v>
      </c>
      <c r="C172" s="349"/>
      <c r="D172" s="22">
        <v>0</v>
      </c>
      <c r="E172" s="22">
        <v>0</v>
      </c>
      <c r="F172" s="22">
        <v>0</v>
      </c>
      <c r="G172" s="22">
        <v>0</v>
      </c>
      <c r="H172" s="22">
        <v>0</v>
      </c>
      <c r="I172" s="22">
        <v>0</v>
      </c>
      <c r="J172" s="22">
        <v>0</v>
      </c>
      <c r="K172" s="22">
        <v>0</v>
      </c>
      <c r="L172" s="23">
        <v>0</v>
      </c>
      <c r="M172"/>
      <c r="N172" s="92" t="s">
        <v>252</v>
      </c>
      <c r="O172" s="492"/>
    </row>
    <row r="173" spans="2:23" ht="15.75" thickBot="1" x14ac:dyDescent="0.3">
      <c r="B173" s="348" t="s">
        <v>177</v>
      </c>
      <c r="C173" s="349"/>
      <c r="D173" s="22">
        <v>0</v>
      </c>
      <c r="E173" s="22">
        <v>0</v>
      </c>
      <c r="F173" s="22">
        <v>0</v>
      </c>
      <c r="G173" s="22">
        <v>0</v>
      </c>
      <c r="H173" s="22">
        <v>0</v>
      </c>
      <c r="I173" s="22">
        <v>0</v>
      </c>
      <c r="J173" s="22">
        <v>0</v>
      </c>
      <c r="K173" s="22">
        <v>0</v>
      </c>
      <c r="L173" s="23">
        <v>0</v>
      </c>
      <c r="M173"/>
      <c r="N173" s="92" t="s">
        <v>150</v>
      </c>
      <c r="O173" s="119" t="s">
        <v>176</v>
      </c>
    </row>
    <row r="174" spans="2:23" x14ac:dyDescent="0.25">
      <c r="B174" s="437" t="s">
        <v>143</v>
      </c>
      <c r="C174" s="438"/>
      <c r="D174" s="438"/>
      <c r="E174" s="438"/>
      <c r="F174" s="438"/>
      <c r="G174" s="438"/>
      <c r="H174" s="438"/>
      <c r="I174" s="438"/>
      <c r="J174" s="438"/>
      <c r="K174" s="438"/>
      <c r="L174" s="439"/>
      <c r="M174"/>
      <c r="N174" s="102" t="s">
        <v>211</v>
      </c>
      <c r="O174" s="352" t="s">
        <v>52</v>
      </c>
      <c r="P174" s="353" t="s">
        <v>50</v>
      </c>
      <c r="Q174" s="353" t="s">
        <v>640</v>
      </c>
      <c r="R174" s="353" t="s">
        <v>641</v>
      </c>
    </row>
    <row r="175" spans="2:23" x14ac:dyDescent="0.25">
      <c r="B175" s="346" t="s">
        <v>230</v>
      </c>
      <c r="C175" s="347"/>
      <c r="D175" s="22">
        <v>-0.25</v>
      </c>
      <c r="E175" s="22">
        <v>-0.25</v>
      </c>
      <c r="F175" s="22">
        <v>-0.5</v>
      </c>
      <c r="G175" s="22">
        <v>-0.5</v>
      </c>
      <c r="H175" s="22">
        <v>-0.5</v>
      </c>
      <c r="I175" s="22">
        <v>-0.5</v>
      </c>
      <c r="J175" s="22">
        <v>-0.5</v>
      </c>
      <c r="K175" s="22" t="e">
        <v>#N/A</v>
      </c>
      <c r="L175" s="23" t="e">
        <v>#N/A</v>
      </c>
      <c r="M175"/>
      <c r="N175" s="102" t="s">
        <v>221</v>
      </c>
      <c r="O175" s="350" t="e">
        <f>IF(OR($O$176="", $O$177="", $O$177="Choose a Selection"),0,
   INDEX($D$163:$L$218,
         MATCH($O$177,$B$163:$B$218,0),
         MATCH($O$176,$D$161:$L$161,0)))</f>
        <v>#REF!</v>
      </c>
      <c r="P175" s="350" t="e">
        <f>IF(OR($P$176="", $P$177="", $P$177="Choose a Selection"),0,
   INDEX($D$163:$L$218,
         MATCH($P$177,$B$163:$B$218,0),
         MATCH($P$176,$D$161:$L$161,0)))</f>
        <v>#REF!</v>
      </c>
      <c r="Q175" s="350" t="e">
        <f>IF(OR($Q$176="", $Q$177="",$Q$177="Choose a Selection"),0,
   INDEX($D$163:$L$218,
         MATCH($Q$177,$B$163:$B$218,0),
         MATCH($Q$176,$D$161:$L$161,0)))</f>
        <v>#REF!</v>
      </c>
      <c r="R175" s="350" t="e">
        <f>IF(OR($R$176="", $R$177="",$R$177="Choose a Selection"),0,
   INDEX($D$163:$L$218,
         MATCH($R$177,$B$163:$B$218,0),
         MATCH($R$176,$D$161:$L$161,0)))</f>
        <v>#REF!</v>
      </c>
    </row>
    <row r="176" spans="2:23" x14ac:dyDescent="0.25">
      <c r="B176" s="346" t="s">
        <v>239</v>
      </c>
      <c r="C176" s="347"/>
      <c r="D176" s="22">
        <f>'NonQM (LP)'!H71+D181</f>
        <v>-1</v>
      </c>
      <c r="E176" s="22">
        <f>'NonQM (LP)'!I71+E181</f>
        <v>-1</v>
      </c>
      <c r="F176" s="22">
        <f>'NonQM (LP)'!J71+F181</f>
        <v>-1</v>
      </c>
      <c r="G176" s="22">
        <f>'NonQM (LP)'!K71+G181</f>
        <v>-1</v>
      </c>
      <c r="H176" s="22">
        <f>'NonQM (LP)'!L71+H181</f>
        <v>-1.25</v>
      </c>
      <c r="I176" s="22">
        <f>'NonQM (LP)'!M71+I181</f>
        <v>-1.25</v>
      </c>
      <c r="J176" s="22">
        <f>'NonQM (LP)'!N71+J181</f>
        <v>-1.25</v>
      </c>
      <c r="K176" s="22">
        <f>'NonQM (LP)'!O71+K181</f>
        <v>-1.5</v>
      </c>
      <c r="L176" s="23" t="e">
        <f>'NonQM (LP)'!P71+L181</f>
        <v>#N/A</v>
      </c>
      <c r="M176"/>
      <c r="N176" s="102" t="s">
        <v>228</v>
      </c>
      <c r="O176" s="351" t="e">
        <f>#REF!</f>
        <v>#REF!</v>
      </c>
      <c r="P176" s="351" t="e">
        <f>#REF!</f>
        <v>#REF!</v>
      </c>
      <c r="Q176" s="351" t="e">
        <f>#REF!</f>
        <v>#REF!</v>
      </c>
      <c r="R176" s="351" t="e">
        <f>#REF!</f>
        <v>#REF!</v>
      </c>
    </row>
    <row r="177" spans="2:18" x14ac:dyDescent="0.25">
      <c r="B177" s="346" t="s">
        <v>249</v>
      </c>
      <c r="C177" s="347"/>
      <c r="D177" s="22">
        <f>'NonQM (LP)'!H71</f>
        <v>-0.5</v>
      </c>
      <c r="E177" s="22">
        <f>'NonQM (LP)'!I71</f>
        <v>-0.5</v>
      </c>
      <c r="F177" s="22">
        <f>'NonQM (LP)'!J71</f>
        <v>-0.5</v>
      </c>
      <c r="G177" s="22">
        <f>'NonQM (LP)'!K71</f>
        <v>-0.5</v>
      </c>
      <c r="H177" s="22">
        <f>'NonQM (LP)'!L71</f>
        <v>-0.75</v>
      </c>
      <c r="I177" s="22">
        <f>'NonQM (LP)'!M71</f>
        <v>-0.75</v>
      </c>
      <c r="J177" s="22">
        <f>'NonQM (LP)'!N71</f>
        <v>-0.75</v>
      </c>
      <c r="K177" s="22">
        <f>'NonQM (LP)'!O71</f>
        <v>-1</v>
      </c>
      <c r="L177" s="23" t="e">
        <f>'NonQM (LP)'!P71</f>
        <v>#N/A</v>
      </c>
      <c r="M177"/>
      <c r="N177" s="92" t="s">
        <v>56</v>
      </c>
      <c r="O177" s="351" t="e">
        <f>#REF!</f>
        <v>#REF!</v>
      </c>
      <c r="P177" s="351" t="e">
        <f>#REF!</f>
        <v>#REF!</v>
      </c>
      <c r="Q177" s="351" t="str">
        <f>'NonQM (LP)'!U32</f>
        <v>No</v>
      </c>
      <c r="R177" s="351" t="e">
        <f>#REF!</f>
        <v>#REF!</v>
      </c>
    </row>
    <row r="178" spans="2:18" x14ac:dyDescent="0.25">
      <c r="B178" s="346" t="s">
        <v>252</v>
      </c>
      <c r="C178" s="347"/>
      <c r="D178" s="22">
        <f>'NonQM (LP)'!H71</f>
        <v>-0.5</v>
      </c>
      <c r="E178" s="22">
        <f>'NonQM (LP)'!I71</f>
        <v>-0.5</v>
      </c>
      <c r="F178" s="22">
        <f>'NonQM (LP)'!J71</f>
        <v>-0.5</v>
      </c>
      <c r="G178" s="22">
        <f>'NonQM (LP)'!K71</f>
        <v>-0.5</v>
      </c>
      <c r="H178" s="22">
        <f>'NonQM (LP)'!L71</f>
        <v>-0.75</v>
      </c>
      <c r="I178" s="22">
        <f>'NonQM (LP)'!M71</f>
        <v>-0.75</v>
      </c>
      <c r="J178" s="22">
        <f>'NonQM (LP)'!N71</f>
        <v>-0.75</v>
      </c>
      <c r="K178" s="22">
        <f>'NonQM (LP)'!O71</f>
        <v>-1</v>
      </c>
      <c r="L178" s="23" t="e">
        <f>'NonQM (LP)'!P71</f>
        <v>#N/A</v>
      </c>
      <c r="M178"/>
      <c r="N178" s="92" t="s">
        <v>151</v>
      </c>
    </row>
    <row r="179" spans="2:18" x14ac:dyDescent="0.25">
      <c r="B179" s="346" t="s">
        <v>135</v>
      </c>
      <c r="C179" s="347"/>
      <c r="D179" s="22">
        <v>0.25</v>
      </c>
      <c r="E179" s="22">
        <v>0.25</v>
      </c>
      <c r="F179" s="22">
        <v>0.25</v>
      </c>
      <c r="G179" s="22">
        <v>0.25</v>
      </c>
      <c r="H179" s="22">
        <v>0.25</v>
      </c>
      <c r="I179" s="22">
        <v>0.25</v>
      </c>
      <c r="J179" s="22">
        <v>0.25</v>
      </c>
      <c r="K179" s="22">
        <v>0.25</v>
      </c>
      <c r="L179" s="23">
        <v>0.25</v>
      </c>
      <c r="M179"/>
      <c r="N179" s="102" t="s">
        <v>157</v>
      </c>
      <c r="O179" s="353" t="s">
        <v>30</v>
      </c>
      <c r="P179" s="353" t="s">
        <v>49</v>
      </c>
      <c r="Q179" s="353" t="s">
        <v>55</v>
      </c>
      <c r="R179" s="353" t="s">
        <v>202</v>
      </c>
    </row>
    <row r="180" spans="2:18" x14ac:dyDescent="0.25">
      <c r="B180" s="346" t="s">
        <v>53</v>
      </c>
      <c r="C180" s="347"/>
      <c r="D180" s="22">
        <v>0</v>
      </c>
      <c r="E180" s="22">
        <v>0</v>
      </c>
      <c r="F180" s="22">
        <v>0</v>
      </c>
      <c r="G180" s="22">
        <v>0</v>
      </c>
      <c r="H180" s="22">
        <v>0</v>
      </c>
      <c r="I180" s="22">
        <v>0</v>
      </c>
      <c r="J180" s="22">
        <v>0</v>
      </c>
      <c r="K180" s="22">
        <v>0</v>
      </c>
      <c r="L180" s="23">
        <v>0</v>
      </c>
      <c r="M180"/>
      <c r="N180" s="102" t="s">
        <v>160</v>
      </c>
      <c r="O180" s="354" t="e">
        <f>IF(OR($O$181="", $O$182="", $O$182="Choose a Selection"),0,
   INDEX($D$163:$L$218,
         MATCH($O$182,$B$163:$B$218,0),
         MATCH($O$181,$D$161:$L$161,0)))</f>
        <v>#REF!</v>
      </c>
      <c r="P180" s="350" t="e">
        <f>IF(OR($P$181="", $P$182="", $P$182="Choose a Selection"),0,
   INDEX($D$163:$L$218,
         MATCH($P$182,$B$163:$B$218,0),
         MATCH($P$181,$D$161:$L$161,0)))</f>
        <v>#REF!</v>
      </c>
      <c r="Q180" s="350" t="e">
        <f>IF(OR($Q$181="", $Q$182="", $Q$182="Choose a Selection"),0,
   INDEX($D$163:$L$218,
         MATCH($Q$182,$B$163:$B$218,0),
         MATCH($Q$181,$D$161:$L$161,0)))</f>
        <v>#REF!</v>
      </c>
      <c r="R180" s="350" t="e">
        <f>IF(OR($R$181="", $R$182="", $R$182="Choose a Selection"),0,
   INDEX($D$163:$L$218,
         MATCH($R$182,$B$163:$B$218,0),
         MATCH($R$181,$D$161:$L$161,0)))</f>
        <v>#REF!</v>
      </c>
    </row>
    <row r="181" spans="2:18" x14ac:dyDescent="0.25">
      <c r="B181" s="346" t="s">
        <v>140</v>
      </c>
      <c r="C181" s="347"/>
      <c r="D181" s="22">
        <v>-0.5</v>
      </c>
      <c r="E181" s="22">
        <v>-0.5</v>
      </c>
      <c r="F181" s="22">
        <v>-0.5</v>
      </c>
      <c r="G181" s="22">
        <v>-0.5</v>
      </c>
      <c r="H181" s="22">
        <v>-0.5</v>
      </c>
      <c r="I181" s="22">
        <v>-0.5</v>
      </c>
      <c r="J181" s="22">
        <v>-0.5</v>
      </c>
      <c r="K181" s="22">
        <v>-0.5</v>
      </c>
      <c r="L181" s="23">
        <v>-0.5</v>
      </c>
      <c r="M181"/>
      <c r="N181" s="102" t="s">
        <v>222</v>
      </c>
      <c r="O181" s="351" t="e">
        <f>#REF!</f>
        <v>#REF!</v>
      </c>
      <c r="P181" s="355" t="e">
        <f>#REF!</f>
        <v>#REF!</v>
      </c>
      <c r="Q181" s="355" t="e">
        <f>#REF!</f>
        <v>#REF!</v>
      </c>
      <c r="R181" s="355" t="e">
        <f>#REF!</f>
        <v>#REF!</v>
      </c>
    </row>
    <row r="182" spans="2:18" x14ac:dyDescent="0.25">
      <c r="B182" s="346" t="s">
        <v>142</v>
      </c>
      <c r="C182" s="347"/>
      <c r="D182" s="22">
        <v>0.25</v>
      </c>
      <c r="E182" s="22">
        <v>0.25</v>
      </c>
      <c r="F182" s="22">
        <v>0.25</v>
      </c>
      <c r="G182" s="22">
        <v>0.25</v>
      </c>
      <c r="H182" s="22">
        <v>0.25</v>
      </c>
      <c r="I182" s="22">
        <v>0.25</v>
      </c>
      <c r="J182" s="22">
        <v>0.25</v>
      </c>
      <c r="K182" s="22">
        <v>0.25</v>
      </c>
      <c r="L182" s="22">
        <v>0.25</v>
      </c>
      <c r="N182" s="102" t="s">
        <v>231</v>
      </c>
      <c r="O182" s="354" t="e">
        <f>#REF!</f>
        <v>#REF!</v>
      </c>
      <c r="P182" s="350" t="e">
        <f>#REF!</f>
        <v>#REF!</v>
      </c>
      <c r="Q182" s="350" t="e">
        <f>#REF!</f>
        <v>#REF!</v>
      </c>
      <c r="R182" s="350" t="e">
        <f>#REF!</f>
        <v>#REF!</v>
      </c>
    </row>
    <row r="183" spans="2:18" x14ac:dyDescent="0.25">
      <c r="B183" s="346" t="s">
        <v>144</v>
      </c>
      <c r="C183" s="347"/>
      <c r="D183" s="22">
        <v>-0.5</v>
      </c>
      <c r="E183" s="22">
        <v>-0.5</v>
      </c>
      <c r="F183" s="22">
        <v>-0.5</v>
      </c>
      <c r="G183" s="22">
        <v>-0.5</v>
      </c>
      <c r="H183" s="22">
        <v>-0.5</v>
      </c>
      <c r="I183" s="22">
        <v>-0.5</v>
      </c>
      <c r="J183" s="22">
        <v>-0.5</v>
      </c>
      <c r="K183" s="22">
        <v>-0.5</v>
      </c>
      <c r="L183" s="23">
        <v>-0.5</v>
      </c>
      <c r="N183" s="102" t="s">
        <v>212</v>
      </c>
    </row>
    <row r="184" spans="2:18" x14ac:dyDescent="0.25">
      <c r="B184" s="346" t="s">
        <v>147</v>
      </c>
      <c r="C184" s="347"/>
      <c r="D184" s="22">
        <v>0.25</v>
      </c>
      <c r="E184" s="22">
        <v>0.25</v>
      </c>
      <c r="F184" s="22">
        <v>0.25</v>
      </c>
      <c r="G184" s="22">
        <v>0.25</v>
      </c>
      <c r="H184" s="22">
        <v>0.25</v>
      </c>
      <c r="I184" s="22">
        <v>0.25</v>
      </c>
      <c r="J184" s="22">
        <v>0.25</v>
      </c>
      <c r="K184" s="22">
        <v>0.25</v>
      </c>
      <c r="L184" s="22">
        <v>0.25</v>
      </c>
      <c r="N184" s="102" t="s">
        <v>99</v>
      </c>
      <c r="O184" s="353" t="s">
        <v>643</v>
      </c>
    </row>
    <row r="185" spans="2:18" x14ac:dyDescent="0.25">
      <c r="B185" s="346" t="s">
        <v>150</v>
      </c>
      <c r="C185" s="347"/>
      <c r="D185" s="22">
        <v>-0.5</v>
      </c>
      <c r="E185" s="22">
        <v>-0.5</v>
      </c>
      <c r="F185" s="22">
        <v>-0.5</v>
      </c>
      <c r="G185" s="22">
        <v>-0.5</v>
      </c>
      <c r="H185" s="22">
        <v>-0.5</v>
      </c>
      <c r="I185" s="22">
        <v>-0.5</v>
      </c>
      <c r="J185" s="22">
        <v>-0.5</v>
      </c>
      <c r="K185" s="22">
        <v>-0.5</v>
      </c>
      <c r="L185" s="23">
        <v>-0.5</v>
      </c>
      <c r="N185" s="102" t="s">
        <v>100</v>
      </c>
      <c r="O185" s="354" t="e">
        <f>IF(OR($O$186="", $O$187="", $O$187="Choose a Selection"),0,
   INDEX($D$163:$L$218,
         MATCH($O$187,$B$163:$B$218,0),
         MATCH($O$186,$D$161:$L$161,0)))</f>
        <v>#REF!</v>
      </c>
    </row>
    <row r="186" spans="2:18" x14ac:dyDescent="0.25">
      <c r="B186" s="346" t="s">
        <v>151</v>
      </c>
      <c r="C186" s="347"/>
      <c r="D186" s="615">
        <f>'NonQM (LP)'!H72</f>
        <v>0</v>
      </c>
      <c r="E186" s="615">
        <f>'NonQM (LP)'!I72</f>
        <v>0</v>
      </c>
      <c r="F186" s="615">
        <f>'NonQM (LP)'!J72</f>
        <v>0</v>
      </c>
      <c r="G186" s="615">
        <f>'NonQM (LP)'!K72</f>
        <v>0</v>
      </c>
      <c r="H186" s="615">
        <f>'NonQM (LP)'!L72</f>
        <v>0</v>
      </c>
      <c r="I186" s="615">
        <f>'NonQM (LP)'!M72</f>
        <v>0</v>
      </c>
      <c r="J186" s="615">
        <f>'NonQM (LP)'!N72</f>
        <v>0</v>
      </c>
      <c r="K186" s="615">
        <f>'NonQM (LP)'!O72</f>
        <v>-0.25</v>
      </c>
      <c r="L186" s="617">
        <f>'NonQM (LP)'!P72</f>
        <v>-0.5</v>
      </c>
      <c r="N186" s="102" t="s">
        <v>237</v>
      </c>
      <c r="O186" s="351" t="e">
        <f>#REF!</f>
        <v>#REF!</v>
      </c>
    </row>
    <row r="187" spans="2:18" x14ac:dyDescent="0.25">
      <c r="B187" s="346" t="s">
        <v>56</v>
      </c>
      <c r="C187" s="347"/>
      <c r="D187" s="22">
        <v>0</v>
      </c>
      <c r="E187" s="22">
        <v>0</v>
      </c>
      <c r="F187" s="22">
        <v>0</v>
      </c>
      <c r="G187" s="22">
        <v>0</v>
      </c>
      <c r="H187" s="22">
        <v>0</v>
      </c>
      <c r="I187" s="22">
        <v>0</v>
      </c>
      <c r="J187" s="22">
        <v>0</v>
      </c>
      <c r="K187" s="22">
        <v>0</v>
      </c>
      <c r="L187" s="23">
        <v>0</v>
      </c>
      <c r="N187" s="92" t="s">
        <v>242</v>
      </c>
      <c r="O187" s="354" t="e">
        <f>#REF!</f>
        <v>#REF!</v>
      </c>
    </row>
    <row r="188" spans="2:18" x14ac:dyDescent="0.25">
      <c r="B188" s="346" t="s">
        <v>211</v>
      </c>
      <c r="C188" s="347"/>
      <c r="D188" s="22">
        <v>0</v>
      </c>
      <c r="E188" s="22">
        <v>0</v>
      </c>
      <c r="F188" s="22">
        <v>0</v>
      </c>
      <c r="G188" s="22">
        <v>0</v>
      </c>
      <c r="H188" s="22">
        <v>0</v>
      </c>
      <c r="I188" s="22">
        <v>0</v>
      </c>
      <c r="J188" s="22">
        <v>0</v>
      </c>
      <c r="K188" s="22">
        <v>0</v>
      </c>
      <c r="L188" s="23">
        <v>0</v>
      </c>
      <c r="N188" s="102" t="s">
        <v>98</v>
      </c>
    </row>
    <row r="189" spans="2:18" x14ac:dyDescent="0.25">
      <c r="B189" s="346" t="s">
        <v>221</v>
      </c>
      <c r="C189" s="347"/>
      <c r="D189" s="22">
        <v>0</v>
      </c>
      <c r="E189" s="22">
        <v>0</v>
      </c>
      <c r="F189" s="22">
        <v>-0.125</v>
      </c>
      <c r="G189" s="22">
        <v>-0.25</v>
      </c>
      <c r="H189" s="22">
        <v>-0.25</v>
      </c>
      <c r="I189" s="22">
        <v>-0.25</v>
      </c>
      <c r="J189" s="22">
        <v>-0.25</v>
      </c>
      <c r="K189" s="22">
        <v>-0.5</v>
      </c>
      <c r="L189" s="23" t="e">
        <v>#N/A</v>
      </c>
      <c r="N189" s="102" t="s">
        <v>248</v>
      </c>
    </row>
    <row r="190" spans="2:18" x14ac:dyDescent="0.25">
      <c r="B190" s="346" t="s">
        <v>228</v>
      </c>
      <c r="C190" s="347"/>
      <c r="D190" s="22">
        <v>-0.25</v>
      </c>
      <c r="E190" s="22">
        <v>-0.25</v>
      </c>
      <c r="F190" s="22">
        <v>-0.25</v>
      </c>
      <c r="G190" s="22">
        <v>-0.375</v>
      </c>
      <c r="H190" s="22">
        <v>-0.5</v>
      </c>
      <c r="I190" s="22">
        <v>-0.625</v>
      </c>
      <c r="J190" s="22">
        <v>-1</v>
      </c>
      <c r="K190" s="22" t="e">
        <v>#N/A</v>
      </c>
      <c r="L190" s="23" t="e">
        <v>#N/A</v>
      </c>
      <c r="N190" s="92" t="s">
        <v>195</v>
      </c>
    </row>
    <row r="191" spans="2:18" x14ac:dyDescent="0.25">
      <c r="B191" s="346" t="s">
        <v>216</v>
      </c>
      <c r="C191" s="347"/>
      <c r="D191" s="22">
        <v>0</v>
      </c>
      <c r="E191" s="22">
        <v>0</v>
      </c>
      <c r="F191" s="22">
        <v>0</v>
      </c>
      <c r="G191" s="22">
        <v>0</v>
      </c>
      <c r="H191" s="22">
        <v>0</v>
      </c>
      <c r="I191" s="22">
        <v>0</v>
      </c>
      <c r="J191" s="22">
        <v>0</v>
      </c>
      <c r="K191" s="22">
        <v>0</v>
      </c>
      <c r="L191" s="23">
        <v>0</v>
      </c>
    </row>
    <row r="192" spans="2:18" x14ac:dyDescent="0.25">
      <c r="B192" s="346" t="s">
        <v>157</v>
      </c>
      <c r="C192" s="347"/>
      <c r="D192" s="615">
        <f>'NonQM (LP)'!H75</f>
        <v>-2</v>
      </c>
      <c r="E192" s="615">
        <f>'NonQM (LP)'!I75</f>
        <v>-2</v>
      </c>
      <c r="F192" s="615">
        <f>'NonQM (LP)'!J75</f>
        <v>-2.5</v>
      </c>
      <c r="G192" s="615">
        <f>'NonQM (LP)'!K75</f>
        <v>-2.5</v>
      </c>
      <c r="H192" s="615">
        <f>'NonQM (LP)'!L75</f>
        <v>-2.5</v>
      </c>
      <c r="I192" s="615">
        <f>'NonQM (LP)'!M75</f>
        <v>-2.5</v>
      </c>
      <c r="J192" s="615">
        <f>'NonQM (LP)'!N75</f>
        <v>-2.75</v>
      </c>
      <c r="K192" s="615">
        <f>'NonQM (LP)'!O75</f>
        <v>-3</v>
      </c>
      <c r="L192" s="617" t="e">
        <f>'NonQM (LP)'!P75</f>
        <v>#N/A</v>
      </c>
      <c r="N192"/>
      <c r="O192" s="493"/>
    </row>
    <row r="193" spans="2:16" x14ac:dyDescent="0.25">
      <c r="B193" s="346" t="s">
        <v>160</v>
      </c>
      <c r="C193" s="347"/>
      <c r="D193" s="22">
        <v>-1.5</v>
      </c>
      <c r="E193" s="22">
        <v>-1.5</v>
      </c>
      <c r="F193" s="22">
        <v>-1.5</v>
      </c>
      <c r="G193" s="22">
        <v>-1.5</v>
      </c>
      <c r="H193" s="22">
        <v>-2</v>
      </c>
      <c r="I193" s="22">
        <v>-2</v>
      </c>
      <c r="J193" s="22" t="e">
        <v>#N/A</v>
      </c>
      <c r="K193" s="22" t="e">
        <v>#N/A</v>
      </c>
      <c r="L193" s="23" t="e">
        <v>#N/A</v>
      </c>
      <c r="N193"/>
      <c r="O193" s="493"/>
    </row>
    <row r="194" spans="2:16" x14ac:dyDescent="0.25">
      <c r="B194" s="346" t="s">
        <v>222</v>
      </c>
      <c r="C194" s="347"/>
      <c r="D194" s="22">
        <v>0</v>
      </c>
      <c r="E194" s="22">
        <v>0</v>
      </c>
      <c r="F194" s="22">
        <v>0</v>
      </c>
      <c r="G194" s="22">
        <v>0</v>
      </c>
      <c r="H194" s="22">
        <v>0</v>
      </c>
      <c r="I194" s="22">
        <v>0</v>
      </c>
      <c r="J194" s="22">
        <v>0</v>
      </c>
      <c r="K194" s="22">
        <v>0</v>
      </c>
      <c r="L194" s="23">
        <v>0</v>
      </c>
      <c r="N194"/>
      <c r="O194" s="493"/>
    </row>
    <row r="195" spans="2:16" x14ac:dyDescent="0.25">
      <c r="B195" s="346" t="s">
        <v>231</v>
      </c>
      <c r="C195" s="347"/>
      <c r="D195" s="22">
        <v>0</v>
      </c>
      <c r="E195" s="22">
        <v>0</v>
      </c>
      <c r="F195" s="22">
        <v>0</v>
      </c>
      <c r="G195" s="22">
        <v>0</v>
      </c>
      <c r="H195" s="22">
        <v>0</v>
      </c>
      <c r="I195" s="22">
        <v>0</v>
      </c>
      <c r="J195" s="22">
        <v>0</v>
      </c>
      <c r="K195" s="22">
        <v>0</v>
      </c>
      <c r="L195" s="23">
        <v>0</v>
      </c>
      <c r="N195"/>
      <c r="O195" s="493"/>
      <c r="P195" s="493"/>
    </row>
    <row r="196" spans="2:16" x14ac:dyDescent="0.25">
      <c r="B196" s="346" t="s">
        <v>69</v>
      </c>
      <c r="C196" s="347"/>
      <c r="D196" s="22">
        <v>-0.5</v>
      </c>
      <c r="E196" s="22">
        <v>-0.5</v>
      </c>
      <c r="F196" s="22">
        <v>-0.5</v>
      </c>
      <c r="G196" s="22">
        <v>-0.5</v>
      </c>
      <c r="H196" s="22">
        <v>-0.5</v>
      </c>
      <c r="I196" s="22">
        <v>-0.5</v>
      </c>
      <c r="J196" s="22">
        <v>-0.5</v>
      </c>
      <c r="K196" s="22">
        <v>-0.5</v>
      </c>
      <c r="L196" s="23">
        <v>-0.5</v>
      </c>
      <c r="N196"/>
      <c r="O196" s="493"/>
      <c r="P196" s="493"/>
    </row>
    <row r="197" spans="2:16" x14ac:dyDescent="0.25">
      <c r="B197" s="346" t="s">
        <v>255</v>
      </c>
      <c r="C197" s="347"/>
      <c r="D197" s="22">
        <v>0</v>
      </c>
      <c r="E197" s="22">
        <v>0</v>
      </c>
      <c r="F197" s="22">
        <v>0</v>
      </c>
      <c r="G197" s="22">
        <v>0</v>
      </c>
      <c r="H197" s="22">
        <v>0</v>
      </c>
      <c r="I197" s="22">
        <v>0</v>
      </c>
      <c r="J197" s="22">
        <v>0</v>
      </c>
      <c r="K197" s="22">
        <v>0</v>
      </c>
      <c r="L197" s="23">
        <v>0</v>
      </c>
      <c r="N197"/>
      <c r="O197" s="493"/>
      <c r="P197" s="493"/>
    </row>
    <row r="198" spans="2:16" x14ac:dyDescent="0.25">
      <c r="B198" s="346" t="s">
        <v>258</v>
      </c>
      <c r="C198" s="347"/>
      <c r="D198" s="22">
        <v>0</v>
      </c>
      <c r="E198" s="22">
        <v>0</v>
      </c>
      <c r="F198" s="22">
        <v>0</v>
      </c>
      <c r="G198" s="22">
        <v>0</v>
      </c>
      <c r="H198" s="22">
        <v>0</v>
      </c>
      <c r="I198" s="22">
        <v>0</v>
      </c>
      <c r="J198" s="22">
        <v>0</v>
      </c>
      <c r="K198" s="22">
        <v>0</v>
      </c>
      <c r="L198" s="23">
        <v>0</v>
      </c>
      <c r="N198"/>
      <c r="O198" s="493"/>
      <c r="P198" s="493"/>
    </row>
    <row r="199" spans="2:16" x14ac:dyDescent="0.25">
      <c r="B199" s="346" t="s">
        <v>261</v>
      </c>
      <c r="C199" s="347"/>
      <c r="D199" s="22">
        <v>0</v>
      </c>
      <c r="E199" s="22">
        <v>0</v>
      </c>
      <c r="F199" s="22">
        <v>0</v>
      </c>
      <c r="G199" s="22">
        <v>0</v>
      </c>
      <c r="H199" s="22">
        <v>0</v>
      </c>
      <c r="I199" s="22">
        <v>0</v>
      </c>
      <c r="J199" s="22">
        <v>0</v>
      </c>
      <c r="K199" s="22">
        <v>0</v>
      </c>
      <c r="L199" s="23">
        <v>0</v>
      </c>
    </row>
    <row r="200" spans="2:16" x14ac:dyDescent="0.25">
      <c r="B200" s="346" t="s">
        <v>264</v>
      </c>
      <c r="C200" s="347"/>
      <c r="D200" s="22">
        <v>0</v>
      </c>
      <c r="E200" s="22">
        <v>0</v>
      </c>
      <c r="F200" s="22">
        <v>0</v>
      </c>
      <c r="G200" s="22">
        <v>0</v>
      </c>
      <c r="H200" s="22">
        <v>0</v>
      </c>
      <c r="I200" s="22">
        <v>0</v>
      </c>
      <c r="J200" s="22">
        <v>0</v>
      </c>
      <c r="K200" s="22">
        <v>0</v>
      </c>
      <c r="L200" s="23">
        <v>0</v>
      </c>
    </row>
    <row r="201" spans="2:16" x14ac:dyDescent="0.25">
      <c r="B201" s="346" t="s">
        <v>218</v>
      </c>
      <c r="C201" s="347"/>
      <c r="D201" s="22">
        <v>0</v>
      </c>
      <c r="E201" s="22">
        <v>0</v>
      </c>
      <c r="F201" s="22">
        <v>0</v>
      </c>
      <c r="G201" s="22">
        <v>0</v>
      </c>
      <c r="H201" s="22">
        <v>0</v>
      </c>
      <c r="I201" s="22">
        <v>0</v>
      </c>
      <c r="J201" s="22">
        <v>0</v>
      </c>
      <c r="K201" s="22">
        <v>0</v>
      </c>
      <c r="L201" s="23">
        <v>0</v>
      </c>
    </row>
    <row r="202" spans="2:16" x14ac:dyDescent="0.25">
      <c r="B202" s="346" t="s">
        <v>226</v>
      </c>
      <c r="C202" s="347"/>
      <c r="D202" s="22">
        <v>0</v>
      </c>
      <c r="E202" s="22">
        <v>0</v>
      </c>
      <c r="F202" s="22">
        <v>0</v>
      </c>
      <c r="G202" s="22">
        <v>0</v>
      </c>
      <c r="H202" s="22">
        <v>0</v>
      </c>
      <c r="I202" s="22">
        <v>0</v>
      </c>
      <c r="J202" s="22">
        <v>0</v>
      </c>
      <c r="K202" s="22">
        <v>0</v>
      </c>
      <c r="L202" s="23">
        <v>0</v>
      </c>
    </row>
    <row r="203" spans="2:16" x14ac:dyDescent="0.25">
      <c r="B203" s="346" t="s">
        <v>234</v>
      </c>
      <c r="C203" s="347"/>
      <c r="D203" s="22">
        <v>0</v>
      </c>
      <c r="E203" s="22">
        <v>0</v>
      </c>
      <c r="F203" s="22">
        <v>0</v>
      </c>
      <c r="G203" s="22">
        <v>0</v>
      </c>
      <c r="H203" s="22">
        <v>0</v>
      </c>
      <c r="I203" s="22">
        <v>0</v>
      </c>
      <c r="J203" s="22">
        <v>0</v>
      </c>
      <c r="K203" s="22">
        <v>0</v>
      </c>
      <c r="L203" s="23">
        <v>0</v>
      </c>
    </row>
    <row r="204" spans="2:16" x14ac:dyDescent="0.25">
      <c r="B204" s="346" t="s">
        <v>240</v>
      </c>
      <c r="C204" s="347"/>
      <c r="D204" s="22">
        <v>0</v>
      </c>
      <c r="E204" s="22">
        <v>0</v>
      </c>
      <c r="F204" s="22">
        <v>0</v>
      </c>
      <c r="G204" s="22">
        <v>0</v>
      </c>
      <c r="H204" s="22">
        <v>0</v>
      </c>
      <c r="I204" s="22">
        <v>0</v>
      </c>
      <c r="J204" s="22">
        <v>0</v>
      </c>
      <c r="K204" s="22">
        <v>0</v>
      </c>
      <c r="L204" s="23">
        <v>0</v>
      </c>
    </row>
    <row r="205" spans="2:16" x14ac:dyDescent="0.25">
      <c r="B205" s="346" t="s">
        <v>244</v>
      </c>
      <c r="C205" s="347"/>
      <c r="D205" s="22">
        <v>0</v>
      </c>
      <c r="E205" s="22">
        <v>0</v>
      </c>
      <c r="F205" s="22">
        <v>0</v>
      </c>
      <c r="G205" s="22">
        <v>0</v>
      </c>
      <c r="H205" s="22">
        <v>0</v>
      </c>
      <c r="I205" s="22">
        <v>0</v>
      </c>
      <c r="J205" s="22">
        <v>0</v>
      </c>
      <c r="K205" s="22">
        <v>0</v>
      </c>
      <c r="L205" s="23">
        <v>0</v>
      </c>
    </row>
    <row r="206" spans="2:16" x14ac:dyDescent="0.25">
      <c r="B206" s="346" t="s">
        <v>246</v>
      </c>
      <c r="C206" s="347"/>
      <c r="D206" s="22">
        <v>0</v>
      </c>
      <c r="E206" s="22">
        <v>0</v>
      </c>
      <c r="F206" s="22">
        <v>0</v>
      </c>
      <c r="G206" s="22">
        <v>0</v>
      </c>
      <c r="H206" s="22">
        <v>0</v>
      </c>
      <c r="I206" s="22">
        <v>0</v>
      </c>
      <c r="J206" s="22">
        <v>0</v>
      </c>
      <c r="K206" s="22">
        <v>0</v>
      </c>
      <c r="L206" s="23">
        <v>0</v>
      </c>
    </row>
    <row r="207" spans="2:16" x14ac:dyDescent="0.25">
      <c r="B207" s="346" t="s">
        <v>250</v>
      </c>
      <c r="C207" s="347"/>
      <c r="D207" s="22">
        <v>0</v>
      </c>
      <c r="E207" s="22">
        <v>0</v>
      </c>
      <c r="F207" s="22">
        <v>0</v>
      </c>
      <c r="G207" s="22">
        <v>0</v>
      </c>
      <c r="H207" s="22">
        <v>0</v>
      </c>
      <c r="I207" s="22">
        <v>0</v>
      </c>
      <c r="J207" s="22">
        <v>0</v>
      </c>
      <c r="K207" s="22">
        <v>0</v>
      </c>
      <c r="L207" s="23">
        <v>0</v>
      </c>
    </row>
    <row r="208" spans="2:16" x14ac:dyDescent="0.25">
      <c r="B208" s="346" t="s">
        <v>251</v>
      </c>
      <c r="C208" s="347"/>
      <c r="D208" s="22">
        <v>0</v>
      </c>
      <c r="E208" s="22">
        <v>0</v>
      </c>
      <c r="F208" s="22">
        <v>0</v>
      </c>
      <c r="G208" s="22">
        <v>0</v>
      </c>
      <c r="H208" s="22">
        <v>0</v>
      </c>
      <c r="I208" s="22">
        <v>0</v>
      </c>
      <c r="J208" s="22">
        <v>0</v>
      </c>
      <c r="K208" s="22">
        <v>0</v>
      </c>
      <c r="L208" s="23">
        <v>0</v>
      </c>
    </row>
    <row r="209" spans="2:12" x14ac:dyDescent="0.25">
      <c r="B209" s="346" t="s">
        <v>187</v>
      </c>
      <c r="C209" s="347"/>
      <c r="D209" s="22">
        <v>-0.25</v>
      </c>
      <c r="E209" s="22">
        <v>-0.25</v>
      </c>
      <c r="F209" s="22">
        <v>-0.25</v>
      </c>
      <c r="G209" s="22">
        <v>-0.25</v>
      </c>
      <c r="H209" s="22">
        <v>-0.25</v>
      </c>
      <c r="I209" s="22">
        <v>-0.25</v>
      </c>
      <c r="J209" s="22">
        <v>-0.25</v>
      </c>
      <c r="K209" s="22">
        <v>-0.25</v>
      </c>
      <c r="L209" s="23">
        <v>-0.25</v>
      </c>
    </row>
    <row r="210" spans="2:12" x14ac:dyDescent="0.25">
      <c r="B210" s="346" t="s">
        <v>188</v>
      </c>
      <c r="C210" s="347"/>
      <c r="D210" s="22">
        <v>-0.25</v>
      </c>
      <c r="E210" s="22">
        <v>-0.25</v>
      </c>
      <c r="F210" s="22">
        <v>-0.25</v>
      </c>
      <c r="G210" s="22">
        <v>-0.25</v>
      </c>
      <c r="H210" s="22">
        <v>-0.25</v>
      </c>
      <c r="I210" s="22">
        <v>-0.25</v>
      </c>
      <c r="J210" s="22">
        <v>-0.25</v>
      </c>
      <c r="K210" s="22">
        <v>-0.25</v>
      </c>
      <c r="L210" s="22">
        <v>-0.25</v>
      </c>
    </row>
    <row r="211" spans="2:12" x14ac:dyDescent="0.25">
      <c r="B211" s="346" t="s">
        <v>189</v>
      </c>
      <c r="C211" s="347"/>
      <c r="D211" s="22">
        <v>-0.25</v>
      </c>
      <c r="E211" s="22">
        <v>-0.25</v>
      </c>
      <c r="F211" s="22">
        <v>-0.25</v>
      </c>
      <c r="G211" s="22">
        <v>-0.25</v>
      </c>
      <c r="H211" s="22">
        <v>-0.25</v>
      </c>
      <c r="I211" s="22">
        <v>-0.25</v>
      </c>
      <c r="J211" s="22">
        <v>-0.25</v>
      </c>
      <c r="K211" s="22">
        <v>-0.25</v>
      </c>
      <c r="L211" s="23">
        <v>-0.25</v>
      </c>
    </row>
    <row r="212" spans="2:12" x14ac:dyDescent="0.25">
      <c r="B212" s="346" t="s">
        <v>191</v>
      </c>
      <c r="C212" s="347"/>
      <c r="D212" s="22">
        <v>-0.25</v>
      </c>
      <c r="E212" s="22">
        <v>-0.25</v>
      </c>
      <c r="F212" s="22">
        <v>-0.25</v>
      </c>
      <c r="G212" s="22">
        <v>-0.25</v>
      </c>
      <c r="H212" s="22">
        <v>-0.25</v>
      </c>
      <c r="I212" s="22">
        <v>-0.25</v>
      </c>
      <c r="J212" s="22">
        <v>-0.25</v>
      </c>
      <c r="K212" s="22">
        <v>-0.25</v>
      </c>
      <c r="L212" s="23">
        <v>-0.25</v>
      </c>
    </row>
    <row r="213" spans="2:12" x14ac:dyDescent="0.25">
      <c r="B213" s="346" t="s">
        <v>894</v>
      </c>
      <c r="C213" s="347"/>
      <c r="D213" s="22">
        <v>0</v>
      </c>
      <c r="E213" s="22">
        <v>0</v>
      </c>
      <c r="F213" s="22">
        <v>0</v>
      </c>
      <c r="G213" s="22">
        <v>0</v>
      </c>
      <c r="H213" s="22">
        <v>0</v>
      </c>
      <c r="I213" s="22">
        <v>0</v>
      </c>
      <c r="J213" s="22">
        <v>0</v>
      </c>
      <c r="K213" s="22">
        <v>0</v>
      </c>
      <c r="L213" s="23">
        <v>0</v>
      </c>
    </row>
    <row r="214" spans="2:12" x14ac:dyDescent="0.25">
      <c r="B214" s="346" t="s">
        <v>192</v>
      </c>
      <c r="C214" s="347"/>
      <c r="D214" s="22">
        <v>-0.25</v>
      </c>
      <c r="E214" s="22">
        <v>-0.25</v>
      </c>
      <c r="F214" s="22">
        <v>-0.25</v>
      </c>
      <c r="G214" s="22">
        <v>-0.25</v>
      </c>
      <c r="H214" s="22">
        <v>-0.25</v>
      </c>
      <c r="I214" s="22">
        <v>-0.25</v>
      </c>
      <c r="J214" s="22">
        <v>-0.25</v>
      </c>
      <c r="K214" s="22">
        <v>-0.25</v>
      </c>
      <c r="L214" s="23">
        <v>-0.25</v>
      </c>
    </row>
    <row r="215" spans="2:12" x14ac:dyDescent="0.25">
      <c r="B215" s="346" t="s">
        <v>193</v>
      </c>
      <c r="C215" s="347"/>
      <c r="D215" s="22">
        <v>0.15</v>
      </c>
      <c r="E215" s="22">
        <v>0.15</v>
      </c>
      <c r="F215" s="22">
        <v>0.15</v>
      </c>
      <c r="G215" s="22">
        <v>0.15</v>
      </c>
      <c r="H215" s="22">
        <v>0.15</v>
      </c>
      <c r="I215" s="22">
        <v>0.15</v>
      </c>
      <c r="J215" s="22">
        <v>0.15</v>
      </c>
      <c r="K215" s="22">
        <v>0.15</v>
      </c>
      <c r="L215" s="22">
        <v>0.15</v>
      </c>
    </row>
    <row r="216" spans="2:12" x14ac:dyDescent="0.25">
      <c r="B216" s="346" t="s">
        <v>65</v>
      </c>
      <c r="C216" s="347"/>
      <c r="D216" s="22">
        <v>0</v>
      </c>
      <c r="E216" s="22">
        <v>0</v>
      </c>
      <c r="F216" s="22">
        <v>0</v>
      </c>
      <c r="G216" s="22">
        <v>0</v>
      </c>
      <c r="H216" s="22">
        <v>0</v>
      </c>
      <c r="I216" s="22">
        <v>0</v>
      </c>
      <c r="J216" s="22">
        <v>0</v>
      </c>
      <c r="K216" s="22">
        <v>0</v>
      </c>
      <c r="L216" s="23">
        <v>0</v>
      </c>
    </row>
    <row r="217" spans="2:12" x14ac:dyDescent="0.25">
      <c r="B217" s="346" t="s">
        <v>106</v>
      </c>
      <c r="C217" s="347"/>
      <c r="D217" s="22">
        <v>-0.25</v>
      </c>
      <c r="E217" s="22">
        <v>-0.25</v>
      </c>
      <c r="F217" s="22">
        <v>-0.25</v>
      </c>
      <c r="G217" s="22">
        <v>-0.25</v>
      </c>
      <c r="H217" s="22">
        <v>-0.25</v>
      </c>
      <c r="I217" s="22">
        <v>-0.25</v>
      </c>
      <c r="J217" s="22">
        <v>-0.25</v>
      </c>
      <c r="K217" s="22">
        <v>-0.25</v>
      </c>
      <c r="L217" s="23">
        <v>-0.25</v>
      </c>
    </row>
    <row r="218" spans="2:12" x14ac:dyDescent="0.25">
      <c r="B218" s="346" t="s">
        <v>111</v>
      </c>
      <c r="C218" s="347"/>
      <c r="D218" s="22">
        <v>-0.5</v>
      </c>
      <c r="E218" s="22">
        <v>-0.5</v>
      </c>
      <c r="F218" s="22">
        <v>-0.5</v>
      </c>
      <c r="G218" s="22">
        <v>-0.5</v>
      </c>
      <c r="H218" s="22">
        <v>-0.5</v>
      </c>
      <c r="I218" s="22">
        <v>-0.5</v>
      </c>
      <c r="J218" s="22">
        <v>-0.5</v>
      </c>
      <c r="K218" s="22">
        <v>-0.5</v>
      </c>
      <c r="L218" s="23">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44" priority="6" operator="containsText" text="n/a">
      <formula>NOT(ISERROR(SEARCH("n/a",B161)))</formula>
    </cfRule>
  </conditionalFormatting>
  <conditionalFormatting sqref="B174">
    <cfRule type="containsText" dxfId="243" priority="5" operator="containsText" text="n/a">
      <formula>NOT(ISERROR(SEARCH("n/a",B174)))</formula>
    </cfRule>
  </conditionalFormatting>
  <conditionalFormatting sqref="D161:L161">
    <cfRule type="containsText" dxfId="242"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41" priority="2" operator="containsText" text="n/a">
      <formula>NOT(ISERROR(SEARCH("n/a",T160)))</formula>
    </cfRule>
  </conditionalFormatting>
  <conditionalFormatting sqref="T159">
    <cfRule type="containsText" dxfId="240"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44" customWidth="1"/>
    <col min="2" max="2" width="30.8554687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5.75" thickBot="1" x14ac:dyDescent="0.3">
      <c r="A1" s="453"/>
      <c r="B1" s="452"/>
      <c r="C1" s="453"/>
      <c r="D1" s="452"/>
    </row>
    <row r="2" spans="1:16" ht="15" customHeight="1" thickBot="1" x14ac:dyDescent="0.3">
      <c r="A2" s="744" t="s">
        <v>736</v>
      </c>
      <c r="B2" s="745"/>
      <c r="C2" s="745"/>
      <c r="D2" s="746"/>
      <c r="F2" s="721" t="s">
        <v>748</v>
      </c>
      <c r="G2" s="722"/>
      <c r="H2" s="740" t="s">
        <v>741</v>
      </c>
      <c r="I2" s="741"/>
      <c r="K2" s="459"/>
      <c r="L2" s="733"/>
      <c r="M2" s="733"/>
      <c r="O2" s="457"/>
      <c r="P2" s="456"/>
    </row>
    <row r="3" spans="1:16" x14ac:dyDescent="0.25">
      <c r="A3" s="754" t="s">
        <v>735</v>
      </c>
      <c r="B3" s="755"/>
      <c r="C3" s="752" t="s">
        <v>734</v>
      </c>
      <c r="D3" s="753"/>
      <c r="F3" s="723"/>
      <c r="G3" s="724"/>
      <c r="H3" s="736" t="s">
        <v>746</v>
      </c>
      <c r="I3" s="737"/>
      <c r="K3" s="459"/>
      <c r="L3" s="734"/>
      <c r="M3" s="734"/>
      <c r="O3" s="457"/>
      <c r="P3" s="456"/>
    </row>
    <row r="4" spans="1:16" ht="15.75" thickBot="1" x14ac:dyDescent="0.3">
      <c r="A4" s="752" t="s">
        <v>733</v>
      </c>
      <c r="B4" s="753"/>
      <c r="C4" s="754" t="s">
        <v>732</v>
      </c>
      <c r="D4" s="755"/>
      <c r="F4" s="723"/>
      <c r="G4" s="724"/>
      <c r="H4" s="738"/>
      <c r="I4" s="739"/>
      <c r="K4" s="459"/>
      <c r="L4" s="734"/>
      <c r="M4" s="734"/>
      <c r="O4" s="457"/>
      <c r="P4" s="456"/>
    </row>
    <row r="5" spans="1:16" ht="15.75" thickBot="1" x14ac:dyDescent="0.3">
      <c r="A5" s="754" t="s">
        <v>731</v>
      </c>
      <c r="B5" s="755"/>
      <c r="C5" s="752" t="s">
        <v>730</v>
      </c>
      <c r="D5" s="753"/>
      <c r="F5" s="717" t="s">
        <v>749</v>
      </c>
      <c r="G5" s="726"/>
      <c r="H5" s="740" t="s">
        <v>742</v>
      </c>
      <c r="I5" s="741"/>
      <c r="K5" s="459"/>
      <c r="L5" s="733"/>
      <c r="M5" s="733"/>
    </row>
    <row r="6" spans="1:16" ht="15" customHeight="1" x14ac:dyDescent="0.25">
      <c r="A6" s="752" t="s">
        <v>234</v>
      </c>
      <c r="B6" s="753"/>
      <c r="C6" s="754" t="s">
        <v>729</v>
      </c>
      <c r="D6" s="755"/>
      <c r="F6" s="727"/>
      <c r="G6" s="726"/>
      <c r="H6" s="736" t="s">
        <v>744</v>
      </c>
      <c r="I6" s="737"/>
      <c r="K6" s="460"/>
      <c r="L6" s="734"/>
      <c r="M6" s="734"/>
      <c r="O6" s="456"/>
    </row>
    <row r="7" spans="1:16" x14ac:dyDescent="0.25">
      <c r="A7" s="754" t="s">
        <v>728</v>
      </c>
      <c r="B7" s="755"/>
      <c r="C7" s="752" t="s">
        <v>727</v>
      </c>
      <c r="D7" s="753"/>
      <c r="F7" s="717" t="s">
        <v>750</v>
      </c>
      <c r="G7" s="726"/>
      <c r="H7" s="717"/>
      <c r="I7" s="718"/>
      <c r="K7" s="460"/>
      <c r="L7" s="734"/>
      <c r="M7" s="734"/>
      <c r="O7" s="456"/>
    </row>
    <row r="8" spans="1:16" ht="15.75" thickBot="1" x14ac:dyDescent="0.3">
      <c r="A8" s="752" t="s">
        <v>726</v>
      </c>
      <c r="B8" s="753"/>
      <c r="C8" s="754" t="s">
        <v>725</v>
      </c>
      <c r="D8" s="755"/>
      <c r="F8" s="727"/>
      <c r="G8" s="726"/>
      <c r="H8" s="738"/>
      <c r="I8" s="739"/>
      <c r="L8" s="734"/>
      <c r="M8" s="734"/>
      <c r="O8" s="456"/>
    </row>
    <row r="9" spans="1:16" ht="15" customHeight="1" thickBot="1" x14ac:dyDescent="0.3">
      <c r="A9" s="754" t="s">
        <v>724</v>
      </c>
      <c r="B9" s="755"/>
      <c r="C9" s="752" t="s">
        <v>723</v>
      </c>
      <c r="D9" s="753"/>
      <c r="F9" s="717" t="s">
        <v>751</v>
      </c>
      <c r="G9" s="725"/>
      <c r="H9" s="740" t="s">
        <v>743</v>
      </c>
      <c r="I9" s="741"/>
      <c r="K9" s="460"/>
      <c r="L9" s="733"/>
      <c r="M9" s="733"/>
    </row>
    <row r="10" spans="1:16" ht="15.75" thickBot="1" x14ac:dyDescent="0.3">
      <c r="A10" s="752" t="s">
        <v>722</v>
      </c>
      <c r="B10" s="753"/>
      <c r="C10" s="754" t="s">
        <v>721</v>
      </c>
      <c r="D10" s="755"/>
      <c r="F10" s="717"/>
      <c r="G10" s="725"/>
      <c r="H10" s="742" t="s">
        <v>745</v>
      </c>
      <c r="I10" s="743"/>
      <c r="K10" s="460"/>
      <c r="L10" s="735"/>
      <c r="M10" s="735"/>
    </row>
    <row r="11" spans="1:16" x14ac:dyDescent="0.25">
      <c r="A11" s="754" t="s">
        <v>720</v>
      </c>
      <c r="B11" s="755"/>
      <c r="C11" s="752" t="s">
        <v>719</v>
      </c>
      <c r="D11" s="753"/>
      <c r="F11" s="717" t="s">
        <v>752</v>
      </c>
      <c r="G11" s="728"/>
      <c r="I11" s="458"/>
    </row>
    <row r="12" spans="1:16" ht="15" customHeight="1" x14ac:dyDescent="0.25">
      <c r="A12" s="752" t="s">
        <v>718</v>
      </c>
      <c r="B12" s="753"/>
      <c r="C12" s="754" t="s">
        <v>717</v>
      </c>
      <c r="D12" s="755"/>
      <c r="F12" s="727"/>
      <c r="G12" s="728"/>
      <c r="H12" s="460"/>
      <c r="I12" s="460"/>
      <c r="J12" s="460"/>
      <c r="K12" s="460"/>
    </row>
    <row r="13" spans="1:16" ht="15.75" thickBot="1" x14ac:dyDescent="0.3">
      <c r="A13" s="754" t="s">
        <v>716</v>
      </c>
      <c r="B13" s="755"/>
      <c r="C13" s="752" t="s">
        <v>715</v>
      </c>
      <c r="D13" s="753"/>
      <c r="F13" s="729"/>
      <c r="G13" s="730"/>
      <c r="H13" s="460"/>
      <c r="I13" s="460"/>
      <c r="K13" s="460"/>
    </row>
    <row r="14" spans="1:16" ht="15.75" thickBot="1" x14ac:dyDescent="0.3">
      <c r="A14" s="752" t="s">
        <v>714</v>
      </c>
      <c r="B14" s="753"/>
      <c r="C14" s="754" t="s">
        <v>713</v>
      </c>
      <c r="D14" s="755"/>
    </row>
    <row r="15" spans="1:16" ht="15.75" thickBot="1" x14ac:dyDescent="0.3">
      <c r="A15" s="754" t="s">
        <v>712</v>
      </c>
      <c r="B15" s="755"/>
      <c r="C15" s="752" t="s">
        <v>711</v>
      </c>
      <c r="D15" s="753"/>
      <c r="F15" s="715" t="s">
        <v>747</v>
      </c>
      <c r="G15" s="716"/>
      <c r="H15"/>
      <c r="I15"/>
      <c r="J15" s="458"/>
      <c r="K15" s="458"/>
    </row>
    <row r="16" spans="1:16" ht="15" customHeight="1" x14ac:dyDescent="0.25">
      <c r="A16" s="752" t="s">
        <v>710</v>
      </c>
      <c r="B16" s="753"/>
      <c r="C16" s="754" t="s">
        <v>709</v>
      </c>
      <c r="D16" s="755"/>
      <c r="F16" s="731" t="s">
        <v>753</v>
      </c>
      <c r="G16" s="732"/>
      <c r="H16"/>
      <c r="I16"/>
      <c r="J16" s="460"/>
    </row>
    <row r="17" spans="1:16" ht="15" customHeight="1" x14ac:dyDescent="0.25">
      <c r="A17" s="754" t="s">
        <v>708</v>
      </c>
      <c r="B17" s="755"/>
      <c r="C17" s="752" t="s">
        <v>707</v>
      </c>
      <c r="D17" s="753"/>
      <c r="F17" s="727"/>
      <c r="G17" s="728"/>
      <c r="H17"/>
      <c r="I17"/>
      <c r="J17" s="460"/>
      <c r="K17" s="460"/>
      <c r="L17" s="460"/>
      <c r="M17" s="460"/>
      <c r="P17" s="456"/>
    </row>
    <row r="18" spans="1:16" x14ac:dyDescent="0.25">
      <c r="A18" s="752" t="s">
        <v>706</v>
      </c>
      <c r="B18" s="753"/>
      <c r="C18" s="754" t="s">
        <v>705</v>
      </c>
      <c r="D18" s="755"/>
      <c r="F18" s="727"/>
      <c r="G18" s="728"/>
      <c r="H18"/>
      <c r="I18"/>
      <c r="J18" s="460"/>
      <c r="K18" s="460"/>
      <c r="L18" s="460"/>
      <c r="M18" s="460"/>
      <c r="P18" s="456"/>
    </row>
    <row r="19" spans="1:16" x14ac:dyDescent="0.25">
      <c r="A19" s="754" t="s">
        <v>704</v>
      </c>
      <c r="B19" s="755"/>
      <c r="C19" s="752" t="s">
        <v>703</v>
      </c>
      <c r="D19" s="753"/>
      <c r="F19" s="727"/>
      <c r="G19" s="728"/>
      <c r="H19"/>
      <c r="I19"/>
      <c r="J19" s="460"/>
      <c r="K19" s="460"/>
      <c r="L19" s="460"/>
      <c r="M19" s="460"/>
      <c r="P19" s="456"/>
    </row>
    <row r="20" spans="1:16" x14ac:dyDescent="0.25">
      <c r="A20" s="752" t="s">
        <v>702</v>
      </c>
      <c r="B20" s="753"/>
      <c r="C20" s="754" t="s">
        <v>701</v>
      </c>
      <c r="D20" s="755"/>
      <c r="F20" s="727"/>
      <c r="G20" s="728"/>
      <c r="H20"/>
      <c r="I20"/>
      <c r="J20" s="460"/>
      <c r="K20" s="460"/>
      <c r="L20" s="460"/>
      <c r="M20" s="460"/>
      <c r="P20" s="456"/>
    </row>
    <row r="21" spans="1:16" x14ac:dyDescent="0.25">
      <c r="A21" s="754" t="s">
        <v>700</v>
      </c>
      <c r="B21" s="755"/>
      <c r="C21" s="752" t="s">
        <v>699</v>
      </c>
      <c r="D21" s="753"/>
      <c r="F21" s="717" t="s">
        <v>754</v>
      </c>
      <c r="G21" s="728"/>
      <c r="H21"/>
      <c r="I21"/>
      <c r="J21" s="460"/>
      <c r="K21" s="460"/>
      <c r="L21" s="460"/>
      <c r="M21" s="460"/>
    </row>
    <row r="22" spans="1:16" x14ac:dyDescent="0.25">
      <c r="A22" s="744" t="s">
        <v>698</v>
      </c>
      <c r="B22" s="745"/>
      <c r="C22" s="745"/>
      <c r="D22" s="746"/>
      <c r="F22" s="727"/>
      <c r="G22" s="728"/>
      <c r="H22"/>
      <c r="I22"/>
      <c r="P22" s="456"/>
    </row>
    <row r="23" spans="1:16" ht="15" customHeight="1" x14ac:dyDescent="0.25">
      <c r="A23" s="750" t="s">
        <v>697</v>
      </c>
      <c r="B23" s="751"/>
      <c r="C23" s="752" t="s">
        <v>696</v>
      </c>
      <c r="D23" s="753"/>
      <c r="F23" s="727"/>
      <c r="G23" s="728"/>
      <c r="H23"/>
      <c r="I23"/>
      <c r="J23" s="460"/>
      <c r="K23" s="460"/>
      <c r="L23" s="460"/>
      <c r="M23" s="460"/>
      <c r="P23" s="456"/>
    </row>
    <row r="24" spans="1:16" x14ac:dyDescent="0.25">
      <c r="A24" s="752" t="s">
        <v>695</v>
      </c>
      <c r="B24" s="753"/>
      <c r="C24" s="754" t="s">
        <v>246</v>
      </c>
      <c r="D24" s="755"/>
      <c r="F24" s="727"/>
      <c r="G24" s="728"/>
      <c r="H24"/>
      <c r="I24"/>
      <c r="J24" s="460"/>
      <c r="K24" s="460"/>
      <c r="L24" s="460"/>
      <c r="M24" s="460"/>
      <c r="P24" s="456"/>
    </row>
    <row r="25" spans="1:16" x14ac:dyDescent="0.25">
      <c r="A25" s="754" t="s">
        <v>694</v>
      </c>
      <c r="B25" s="755"/>
      <c r="C25" s="756"/>
      <c r="D25" s="757"/>
      <c r="F25" s="727"/>
      <c r="G25" s="728"/>
      <c r="H25"/>
      <c r="I25"/>
      <c r="J25" s="460"/>
      <c r="K25" s="460"/>
      <c r="L25" s="460"/>
      <c r="M25" s="460"/>
      <c r="P25" s="456"/>
    </row>
    <row r="26" spans="1:16" x14ac:dyDescent="0.25">
      <c r="A26" s="744" t="s">
        <v>693</v>
      </c>
      <c r="B26" s="745"/>
      <c r="C26" s="745"/>
      <c r="D26" s="746"/>
      <c r="F26" s="717" t="s">
        <v>755</v>
      </c>
      <c r="G26" s="718"/>
      <c r="H26" s="460"/>
      <c r="I26" s="460"/>
      <c r="J26" s="460"/>
      <c r="K26" s="460"/>
      <c r="L26" s="460"/>
      <c r="M26" s="460"/>
      <c r="P26" s="456"/>
    </row>
    <row r="27" spans="1:16" x14ac:dyDescent="0.25">
      <c r="A27" s="451" t="s">
        <v>692</v>
      </c>
      <c r="B27" s="451" t="s">
        <v>691</v>
      </c>
      <c r="C27" s="451" t="s">
        <v>690</v>
      </c>
      <c r="D27" s="451" t="s">
        <v>689</v>
      </c>
      <c r="F27" s="717"/>
      <c r="G27" s="718"/>
      <c r="H27" s="460"/>
      <c r="I27" s="460"/>
      <c r="J27" s="460"/>
      <c r="K27" s="460"/>
      <c r="L27" s="460"/>
      <c r="M27" s="460"/>
    </row>
    <row r="28" spans="1:16" ht="90" x14ac:dyDescent="0.25">
      <c r="A28" s="446" t="s">
        <v>688</v>
      </c>
      <c r="B28" s="450" t="s">
        <v>687</v>
      </c>
      <c r="C28" s="445" t="s">
        <v>671</v>
      </c>
      <c r="D28" s="445" t="s">
        <v>686</v>
      </c>
      <c r="F28" s="717"/>
      <c r="G28" s="718"/>
    </row>
    <row r="29" spans="1:16" ht="75.75" thickBot="1" x14ac:dyDescent="0.3">
      <c r="A29" s="449" t="s">
        <v>240</v>
      </c>
      <c r="B29" s="447" t="s">
        <v>682</v>
      </c>
      <c r="C29" s="447" t="s">
        <v>685</v>
      </c>
      <c r="D29" s="447" t="s">
        <v>684</v>
      </c>
      <c r="F29" s="719" t="s">
        <v>756</v>
      </c>
      <c r="G29" s="720"/>
    </row>
    <row r="30" spans="1:16" x14ac:dyDescent="0.25">
      <c r="A30" s="446" t="s">
        <v>683</v>
      </c>
      <c r="B30" s="445" t="s">
        <v>682</v>
      </c>
      <c r="C30" s="445" t="s">
        <v>681</v>
      </c>
      <c r="D30" s="445" t="s">
        <v>666</v>
      </c>
    </row>
    <row r="31" spans="1:16" ht="30" x14ac:dyDescent="0.25">
      <c r="A31" s="449" t="s">
        <v>680</v>
      </c>
      <c r="B31" s="448" t="s">
        <v>679</v>
      </c>
      <c r="C31" s="447" t="s">
        <v>671</v>
      </c>
      <c r="D31" s="447" t="s">
        <v>678</v>
      </c>
    </row>
    <row r="32" spans="1:16" ht="30" x14ac:dyDescent="0.25">
      <c r="A32" s="446" t="s">
        <v>677</v>
      </c>
      <c r="B32" s="445" t="s">
        <v>676</v>
      </c>
      <c r="C32" s="445" t="s">
        <v>675</v>
      </c>
      <c r="D32" s="445" t="s">
        <v>674</v>
      </c>
    </row>
    <row r="33" spans="1:4" ht="45" x14ac:dyDescent="0.25">
      <c r="A33" s="449" t="s">
        <v>673</v>
      </c>
      <c r="B33" s="448" t="s">
        <v>672</v>
      </c>
      <c r="C33" s="447" t="s">
        <v>671</v>
      </c>
      <c r="D33" s="447" t="s">
        <v>670</v>
      </c>
    </row>
    <row r="34" spans="1:4" x14ac:dyDescent="0.25">
      <c r="A34" s="446" t="s">
        <v>669</v>
      </c>
      <c r="B34" s="445" t="s">
        <v>668</v>
      </c>
      <c r="C34" s="445" t="s">
        <v>667</v>
      </c>
      <c r="D34" s="445" t="s">
        <v>666</v>
      </c>
    </row>
    <row r="35" spans="1:4" x14ac:dyDescent="0.25">
      <c r="A35" s="747" t="s">
        <v>665</v>
      </c>
      <c r="B35" s="748"/>
      <c r="C35" s="748"/>
      <c r="D35" s="749"/>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122" zoomScale="85" zoomScaleNormal="85" workbookViewId="0">
      <selection activeCell="B65" sqref="B65"/>
    </sheetView>
  </sheetViews>
  <sheetFormatPr defaultColWidth="9.140625" defaultRowHeight="15" x14ac:dyDescent="0.25"/>
  <cols>
    <col min="1" max="1" width="29.7109375" style="92" customWidth="1"/>
    <col min="2" max="3" width="22.7109375" style="92" customWidth="1"/>
    <col min="4" max="4" width="20" style="92" customWidth="1"/>
    <col min="5" max="5" width="27.140625" style="119" bestFit="1" customWidth="1"/>
    <col min="6" max="6" width="35" style="92" bestFit="1" customWidth="1"/>
    <col min="7" max="7" width="21.42578125" style="92" bestFit="1" customWidth="1"/>
    <col min="8" max="8" width="30.28515625" style="92" customWidth="1"/>
    <col min="9" max="9" width="18" style="92" bestFit="1"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31.42578125" style="92" customWidth="1"/>
    <col min="16" max="16" width="20.140625" style="92" bestFit="1" customWidth="1"/>
    <col min="17" max="17" width="37.85546875" style="92" bestFit="1" customWidth="1"/>
    <col min="18" max="18" width="26.42578125" style="92" customWidth="1"/>
    <col min="19" max="19" width="67.42578125" style="104" bestFit="1" customWidth="1"/>
    <col min="20" max="20" width="37.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26.140625" style="104"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21.7109375" style="92" customWidth="1"/>
    <col min="39" max="39" width="36.28515625" style="92" bestFit="1" customWidth="1"/>
    <col min="40" max="16384" width="9.140625" style="92"/>
  </cols>
  <sheetData>
    <row r="1" spans="1:31" x14ac:dyDescent="0.25">
      <c r="A1" s="95" t="s">
        <v>197</v>
      </c>
      <c r="B1" s="95" t="s">
        <v>198</v>
      </c>
      <c r="C1" s="95" t="s">
        <v>27</v>
      </c>
      <c r="D1" s="95" t="s">
        <v>39</v>
      </c>
      <c r="E1" s="491" t="s">
        <v>41</v>
      </c>
      <c r="F1" s="95" t="s">
        <v>45</v>
      </c>
      <c r="G1" s="95" t="s">
        <v>78</v>
      </c>
      <c r="H1" s="95" t="s">
        <v>199</v>
      </c>
      <c r="I1" s="95" t="s">
        <v>200</v>
      </c>
      <c r="J1" s="95" t="s">
        <v>47</v>
      </c>
      <c r="K1" s="95" t="s">
        <v>50</v>
      </c>
      <c r="L1" s="95" t="s">
        <v>49</v>
      </c>
      <c r="M1" s="95" t="s">
        <v>201</v>
      </c>
      <c r="N1" s="95" t="s">
        <v>202</v>
      </c>
      <c r="O1" s="95" t="s">
        <v>203</v>
      </c>
      <c r="P1" s="95" t="s">
        <v>43</v>
      </c>
      <c r="Q1" s="95" t="s">
        <v>204</v>
      </c>
      <c r="R1" s="96" t="s">
        <v>66</v>
      </c>
      <c r="S1" s="96" t="s">
        <v>69</v>
      </c>
      <c r="T1" s="95" t="s">
        <v>62</v>
      </c>
      <c r="U1" s="360"/>
      <c r="V1" s="361" t="s">
        <v>205</v>
      </c>
      <c r="W1" s="362"/>
      <c r="X1" s="358" t="e" cm="1">
        <f t="array" ref="X1">IF(AND(OR(#REF!=B9:B11),OR(#REF!=L4:L6)),V4,V3)</f>
        <v>#REF!</v>
      </c>
      <c r="Y1" s="397" t="s">
        <v>206</v>
      </c>
      <c r="Z1" s="100" t="b" cm="1">
        <f t="array" ref="Z1">IF(AND(OR('DSCR (LP)'!S17=D3),OR('DSCR (LP)'!S21=J3:J7)),0.25)</f>
        <v>0</v>
      </c>
      <c r="AA1" s="194" t="s">
        <v>207</v>
      </c>
      <c r="AB1" s="92"/>
      <c r="AC1" s="92"/>
      <c r="AD1" s="92"/>
    </row>
    <row r="2" spans="1:31" x14ac:dyDescent="0.25">
      <c r="A2" s="102" t="s">
        <v>31</v>
      </c>
      <c r="B2" s="102" t="s">
        <v>31</v>
      </c>
      <c r="C2" s="102" t="s">
        <v>31</v>
      </c>
      <c r="D2" s="102" t="s">
        <v>31</v>
      </c>
      <c r="E2" s="492" t="s">
        <v>31</v>
      </c>
      <c r="F2" s="102" t="s">
        <v>31</v>
      </c>
      <c r="G2" s="102" t="s">
        <v>31</v>
      </c>
      <c r="H2" s="102" t="s">
        <v>31</v>
      </c>
      <c r="I2" s="102" t="s">
        <v>31</v>
      </c>
      <c r="J2" s="102" t="s">
        <v>31</v>
      </c>
      <c r="K2" s="102" t="s">
        <v>31</v>
      </c>
      <c r="L2" s="102" t="s">
        <v>31</v>
      </c>
      <c r="M2" s="102" t="s">
        <v>31</v>
      </c>
      <c r="N2" s="102" t="s">
        <v>31</v>
      </c>
      <c r="O2" s="102" t="s">
        <v>31</v>
      </c>
      <c r="P2" s="102" t="s">
        <v>31</v>
      </c>
      <c r="Q2" s="102" t="s">
        <v>31</v>
      </c>
      <c r="R2" s="102" t="s">
        <v>31</v>
      </c>
      <c r="S2" s="102" t="s">
        <v>31</v>
      </c>
      <c r="T2" s="102" t="s">
        <v>31</v>
      </c>
      <c r="U2" s="363"/>
      <c r="V2" s="361" t="s">
        <v>208</v>
      </c>
      <c r="W2" s="362"/>
      <c r="X2" s="358" t="e" cm="1">
        <f t="array" ref="X2">IF(AND(OR(#REF!=B3:B8),OR(#REF!=C3:C4),OR(#REF!=L4:L6)),V4,V3)</f>
        <v>#REF!</v>
      </c>
      <c r="Y2" s="397"/>
      <c r="Z2" s="100"/>
      <c r="AA2" s="154"/>
      <c r="AC2" s="92"/>
      <c r="AD2" s="92"/>
    </row>
    <row r="3" spans="1:31" x14ac:dyDescent="0.25">
      <c r="A3" s="92" t="s">
        <v>22</v>
      </c>
      <c r="B3" s="102" t="s">
        <v>12</v>
      </c>
      <c r="C3" s="102" t="s">
        <v>48</v>
      </c>
      <c r="D3" s="102" t="s">
        <v>176</v>
      </c>
      <c r="E3" s="492" t="s">
        <v>210</v>
      </c>
      <c r="F3" s="102" t="s">
        <v>211</v>
      </c>
      <c r="G3" s="102" t="s">
        <v>80</v>
      </c>
      <c r="H3" s="102" t="s">
        <v>102</v>
      </c>
      <c r="I3" s="102" t="s">
        <v>56</v>
      </c>
      <c r="J3" t="s">
        <v>68</v>
      </c>
      <c r="K3" s="102" t="s">
        <v>212</v>
      </c>
      <c r="L3" s="102" t="s">
        <v>213</v>
      </c>
      <c r="M3" s="102" t="s">
        <v>135</v>
      </c>
      <c r="N3" s="102" t="s">
        <v>214</v>
      </c>
      <c r="O3" s="102" t="s">
        <v>215</v>
      </c>
      <c r="P3" s="102" t="s">
        <v>216</v>
      </c>
      <c r="Q3" s="102" t="s">
        <v>217</v>
      </c>
      <c r="R3" s="102" t="s">
        <v>67</v>
      </c>
      <c r="S3" s="102" t="s">
        <v>67</v>
      </c>
      <c r="T3" s="102" t="s">
        <v>226</v>
      </c>
      <c r="U3" s="363"/>
      <c r="V3" s="390" t="s">
        <v>74</v>
      </c>
      <c r="W3" s="391"/>
      <c r="X3" s="396"/>
      <c r="Y3" s="398" t="s">
        <v>219</v>
      </c>
      <c r="Z3" s="399" cm="1">
        <f t="array" ref="Z3">IF(AND(OR('DSCR (LP)'!S12=A9:A12),OR('DSCR (LP)'!S21=J5:J7)),VLOOKUP($Y$3,'DSCR (LP)'!$F$30:$O$34,3,FALSE),0)</f>
        <v>0</v>
      </c>
      <c r="AA3" s="399" t="s">
        <v>219</v>
      </c>
      <c r="AB3" s="92"/>
      <c r="AC3" s="92"/>
      <c r="AD3" s="92"/>
    </row>
    <row r="4" spans="1:31" x14ac:dyDescent="0.25">
      <c r="A4" s="92" t="s">
        <v>24</v>
      </c>
      <c r="B4" s="102" t="s">
        <v>13</v>
      </c>
      <c r="C4" s="102" t="s">
        <v>28</v>
      </c>
      <c r="D4" s="105"/>
      <c r="E4" s="492" t="s">
        <v>59</v>
      </c>
      <c r="F4" s="102" t="s">
        <v>221</v>
      </c>
      <c r="G4" s="92" t="s">
        <v>82</v>
      </c>
      <c r="H4" s="102" t="s">
        <v>107</v>
      </c>
      <c r="I4" s="102" t="s">
        <v>151</v>
      </c>
      <c r="J4" t="s">
        <v>70</v>
      </c>
      <c r="K4" s="102" t="s">
        <v>99</v>
      </c>
      <c r="L4" s="102" t="s">
        <v>97</v>
      </c>
      <c r="M4" s="102" t="s">
        <v>53</v>
      </c>
      <c r="N4" s="102" t="s">
        <v>65</v>
      </c>
      <c r="O4" s="102"/>
      <c r="P4" s="102" t="s">
        <v>222</v>
      </c>
      <c r="Q4" s="102" t="s">
        <v>223</v>
      </c>
      <c r="R4" s="108" t="s">
        <v>224</v>
      </c>
      <c r="S4" s="109" t="s">
        <v>225</v>
      </c>
      <c r="T4" s="102" t="s">
        <v>218</v>
      </c>
      <c r="U4" s="363"/>
      <c r="V4" s="392" t="s">
        <v>644</v>
      </c>
      <c r="W4" s="393"/>
      <c r="X4"/>
      <c r="Y4" s="106" t="s">
        <v>74</v>
      </c>
      <c r="Z4"/>
      <c r="AB4"/>
      <c r="AC4"/>
      <c r="AD4" s="92"/>
    </row>
    <row r="5" spans="1:31" ht="15.75" thickBot="1" x14ac:dyDescent="0.3">
      <c r="A5" s="92" t="s">
        <v>26</v>
      </c>
      <c r="B5" s="102" t="s">
        <v>14</v>
      </c>
      <c r="C5" s="102" t="s">
        <v>179</v>
      </c>
      <c r="E5" s="492" t="s">
        <v>57</v>
      </c>
      <c r="F5" s="102" t="s">
        <v>228</v>
      </c>
      <c r="G5" s="102" t="s">
        <v>84</v>
      </c>
      <c r="H5" s="102" t="s">
        <v>112</v>
      </c>
      <c r="I5" s="102"/>
      <c r="J5" t="s">
        <v>72</v>
      </c>
      <c r="K5" s="102" t="s">
        <v>100</v>
      </c>
      <c r="L5" s="102" t="s">
        <v>229</v>
      </c>
      <c r="M5" s="102" t="s">
        <v>230</v>
      </c>
      <c r="N5" s="102" t="s">
        <v>106</v>
      </c>
      <c r="O5" s="102"/>
      <c r="P5" s="102" t="s">
        <v>231</v>
      </c>
      <c r="Q5" s="102" t="s">
        <v>232</v>
      </c>
      <c r="R5" s="111" t="s">
        <v>233</v>
      </c>
      <c r="S5" s="109"/>
      <c r="T5" s="102" t="s">
        <v>894</v>
      </c>
      <c r="U5" s="364"/>
      <c r="V5" s="395"/>
      <c r="W5" s="393"/>
      <c r="Y5" s="106" t="s">
        <v>225</v>
      </c>
      <c r="Z5"/>
      <c r="AA5"/>
      <c r="AB5"/>
      <c r="AC5" s="104" t="s">
        <v>227</v>
      </c>
      <c r="AD5"/>
      <c r="AE5"/>
    </row>
    <row r="6" spans="1:31" x14ac:dyDescent="0.25">
      <c r="A6" s="102" t="s">
        <v>29</v>
      </c>
      <c r="B6" s="102" t="s">
        <v>15</v>
      </c>
      <c r="C6" s="102" t="s">
        <v>235</v>
      </c>
      <c r="E6" s="492" t="s">
        <v>54</v>
      </c>
      <c r="F6" s="102" t="s">
        <v>236</v>
      </c>
      <c r="G6" s="102" t="s">
        <v>86</v>
      </c>
      <c r="H6" s="102" t="s">
        <v>116</v>
      </c>
      <c r="I6" s="102"/>
      <c r="J6" t="s">
        <v>75</v>
      </c>
      <c r="K6" s="102" t="s">
        <v>237</v>
      </c>
      <c r="L6" s="102" t="s">
        <v>238</v>
      </c>
      <c r="M6" s="102" t="s">
        <v>239</v>
      </c>
      <c r="N6" s="102" t="s">
        <v>111</v>
      </c>
      <c r="O6" s="102"/>
      <c r="P6" s="102" t="s">
        <v>157</v>
      </c>
      <c r="Q6" s="102"/>
      <c r="R6" s="102"/>
      <c r="S6" s="109"/>
      <c r="T6" s="102" t="s">
        <v>234</v>
      </c>
      <c r="U6"/>
      <c r="W6"/>
      <c r="X6"/>
      <c r="Y6"/>
      <c r="AA6"/>
      <c r="AB6"/>
      <c r="AC6" s="104" t="s">
        <v>227</v>
      </c>
      <c r="AD6"/>
      <c r="AE6"/>
    </row>
    <row r="7" spans="1:31" x14ac:dyDescent="0.25">
      <c r="A7" s="102" t="s">
        <v>32</v>
      </c>
      <c r="B7" s="102" t="s">
        <v>16</v>
      </c>
      <c r="C7" s="102" t="s">
        <v>241</v>
      </c>
      <c r="D7" s="102"/>
      <c r="E7" s="492" t="s">
        <v>61</v>
      </c>
      <c r="G7" s="102" t="s">
        <v>87</v>
      </c>
      <c r="H7" s="114" t="s">
        <v>121</v>
      </c>
      <c r="I7" s="102"/>
      <c r="J7" t="s">
        <v>76</v>
      </c>
      <c r="K7" s="92" t="s">
        <v>242</v>
      </c>
      <c r="L7" s="102" t="s">
        <v>31</v>
      </c>
      <c r="M7" s="102" t="s">
        <v>140</v>
      </c>
      <c r="N7" s="102" t="s">
        <v>243</v>
      </c>
      <c r="O7" s="102"/>
      <c r="P7" s="102" t="s">
        <v>204</v>
      </c>
      <c r="Q7" s="102"/>
      <c r="R7" s="95"/>
      <c r="S7"/>
      <c r="T7" s="102" t="s">
        <v>251</v>
      </c>
      <c r="U7" s="102"/>
      <c r="W7"/>
      <c r="X7" s="342" t="s">
        <v>245</v>
      </c>
      <c r="Y7"/>
      <c r="Z7"/>
      <c r="AA7"/>
      <c r="AB7"/>
      <c r="AC7" s="104" t="s">
        <v>227</v>
      </c>
      <c r="AD7"/>
      <c r="AE7"/>
    </row>
    <row r="8" spans="1:31" x14ac:dyDescent="0.25">
      <c r="A8" s="102" t="s">
        <v>35</v>
      </c>
      <c r="B8" s="102" t="s">
        <v>17</v>
      </c>
      <c r="C8" s="102" t="s">
        <v>182</v>
      </c>
      <c r="D8" s="102"/>
      <c r="E8" s="492" t="s">
        <v>63</v>
      </c>
      <c r="G8" s="102" t="s">
        <v>89</v>
      </c>
      <c r="H8" s="114" t="s">
        <v>125</v>
      </c>
      <c r="I8" s="102"/>
      <c r="J8" s="102"/>
      <c r="K8" s="102" t="s">
        <v>98</v>
      </c>
      <c r="L8" s="102"/>
      <c r="M8" s="102" t="s">
        <v>142</v>
      </c>
      <c r="N8" s="102"/>
      <c r="O8" s="102"/>
      <c r="P8" s="102"/>
      <c r="Q8" s="102"/>
      <c r="R8" s="102"/>
      <c r="S8"/>
      <c r="T8" s="102" t="s">
        <v>187</v>
      </c>
      <c r="U8" s="102"/>
      <c r="V8"/>
      <c r="W8"/>
      <c r="X8" s="342" t="s">
        <v>247</v>
      </c>
      <c r="Y8"/>
      <c r="Z8"/>
      <c r="AA8"/>
      <c r="AB8"/>
      <c r="AC8" s="104" t="s">
        <v>227</v>
      </c>
      <c r="AD8"/>
      <c r="AE8"/>
    </row>
    <row r="9" spans="1:31" x14ac:dyDescent="0.25">
      <c r="A9" s="102" t="s">
        <v>38</v>
      </c>
      <c r="B9" s="102" t="s">
        <v>18</v>
      </c>
      <c r="C9" s="92" t="s">
        <v>183</v>
      </c>
      <c r="D9" s="102"/>
      <c r="E9" s="492" t="s">
        <v>186</v>
      </c>
      <c r="F9" s="102"/>
      <c r="G9" s="102" t="s">
        <v>90</v>
      </c>
      <c r="H9" s="102" t="s">
        <v>129</v>
      </c>
      <c r="I9" s="102"/>
      <c r="J9" s="102"/>
      <c r="K9" s="102" t="s">
        <v>248</v>
      </c>
      <c r="L9" s="102"/>
      <c r="M9" s="102" t="s">
        <v>249</v>
      </c>
      <c r="N9" s="102"/>
      <c r="O9" s="102"/>
      <c r="P9" s="102"/>
      <c r="Q9" s="102"/>
      <c r="R9" s="102"/>
      <c r="S9"/>
      <c r="T9" s="102" t="s">
        <v>188</v>
      </c>
      <c r="U9" s="102"/>
      <c r="V9"/>
      <c r="W9"/>
      <c r="X9"/>
      <c r="Y9"/>
      <c r="Z9"/>
      <c r="AA9"/>
      <c r="AB9"/>
      <c r="AC9" s="104" t="s">
        <v>227</v>
      </c>
      <c r="AD9"/>
      <c r="AE9"/>
    </row>
    <row r="10" spans="1:31" x14ac:dyDescent="0.25">
      <c r="A10" s="102" t="s">
        <v>40</v>
      </c>
      <c r="B10" s="102" t="s">
        <v>19</v>
      </c>
      <c r="C10" s="92" t="s">
        <v>184</v>
      </c>
      <c r="D10" s="109"/>
      <c r="E10" s="492"/>
      <c r="F10" s="102"/>
      <c r="G10" s="102" t="s">
        <v>91</v>
      </c>
      <c r="H10" s="102" t="s">
        <v>131</v>
      </c>
      <c r="I10" s="102"/>
      <c r="J10" s="102"/>
      <c r="K10" s="366" t="s">
        <v>177</v>
      </c>
      <c r="L10" s="102"/>
      <c r="M10" s="102" t="s">
        <v>144</v>
      </c>
      <c r="N10" s="102"/>
      <c r="O10" s="102"/>
      <c r="P10" s="102"/>
      <c r="Q10" s="102"/>
      <c r="R10" s="102"/>
      <c r="S10"/>
      <c r="T10" s="102" t="s">
        <v>189</v>
      </c>
      <c r="U10" s="102"/>
      <c r="V10"/>
      <c r="W10"/>
      <c r="X10"/>
      <c r="Y10"/>
      <c r="Z10"/>
      <c r="AA10"/>
      <c r="AB10"/>
      <c r="AC10" s="104" t="s">
        <v>227</v>
      </c>
      <c r="AD10"/>
      <c r="AE10"/>
    </row>
    <row r="11" spans="1:31" x14ac:dyDescent="0.25">
      <c r="A11" s="102" t="s">
        <v>42</v>
      </c>
      <c r="B11" s="102" t="s">
        <v>20</v>
      </c>
      <c r="D11" s="109"/>
      <c r="E11" s="492"/>
      <c r="F11" s="102"/>
      <c r="G11" s="102" t="s">
        <v>92</v>
      </c>
      <c r="H11" s="102" t="s">
        <v>133</v>
      </c>
      <c r="I11" s="102"/>
      <c r="J11" s="107"/>
      <c r="L11" s="102"/>
      <c r="M11" s="102" t="s">
        <v>147</v>
      </c>
      <c r="N11" s="102"/>
      <c r="O11" s="102"/>
      <c r="P11" s="102"/>
      <c r="Q11" s="102"/>
      <c r="R11" s="102"/>
      <c r="S11" s="109"/>
      <c r="T11" s="102" t="s">
        <v>240</v>
      </c>
      <c r="U11" s="102"/>
      <c r="V11"/>
      <c r="W11"/>
      <c r="X11"/>
      <c r="Y11"/>
      <c r="Z11"/>
      <c r="AA11"/>
      <c r="AB11"/>
      <c r="AD11"/>
      <c r="AE11"/>
    </row>
    <row r="12" spans="1:31" x14ac:dyDescent="0.25">
      <c r="A12" s="102" t="s">
        <v>44</v>
      </c>
      <c r="B12" s="102"/>
      <c r="C12" s="102"/>
      <c r="D12" s="109"/>
      <c r="E12" s="492"/>
      <c r="G12" s="102" t="s">
        <v>93</v>
      </c>
      <c r="H12" s="102" t="s">
        <v>136</v>
      </c>
      <c r="I12" s="102"/>
      <c r="J12" s="107"/>
      <c r="L12" s="102"/>
      <c r="M12" s="102" t="s">
        <v>252</v>
      </c>
      <c r="N12" s="102"/>
      <c r="O12" s="102"/>
      <c r="P12" s="102"/>
      <c r="Q12" s="102"/>
      <c r="R12" s="102"/>
      <c r="S12" s="109"/>
      <c r="T12" s="102" t="s">
        <v>244</v>
      </c>
      <c r="U12" s="102"/>
      <c r="V12"/>
      <c r="W12"/>
      <c r="X12"/>
      <c r="Y12"/>
      <c r="Z12"/>
      <c r="AA12"/>
      <c r="AB12"/>
      <c r="AC12" s="104" t="s">
        <v>227</v>
      </c>
      <c r="AD12"/>
    </row>
    <row r="13" spans="1:31" x14ac:dyDescent="0.25">
      <c r="B13" s="102"/>
      <c r="C13" s="102" t="s">
        <v>30</v>
      </c>
      <c r="D13" s="102" t="s">
        <v>33</v>
      </c>
      <c r="E13" s="492" t="s">
        <v>36</v>
      </c>
      <c r="G13" s="102"/>
      <c r="H13" s="92" t="s">
        <v>138</v>
      </c>
      <c r="I13" s="102"/>
      <c r="J13" s="116" t="s">
        <v>253</v>
      </c>
      <c r="K13" s="102"/>
      <c r="L13" s="102"/>
      <c r="M13" s="102" t="s">
        <v>150</v>
      </c>
      <c r="N13" s="102"/>
      <c r="O13" s="102"/>
      <c r="P13" s="102"/>
      <c r="Q13" s="102"/>
      <c r="R13" s="102"/>
      <c r="S13" s="109"/>
      <c r="T13" s="102" t="s">
        <v>250</v>
      </c>
      <c r="U13"/>
      <c r="V13"/>
      <c r="W13"/>
      <c r="X13"/>
      <c r="Y13"/>
      <c r="Z13"/>
      <c r="AA13"/>
      <c r="AB13"/>
      <c r="AC13" s="104" t="s">
        <v>227</v>
      </c>
    </row>
    <row r="14" spans="1:31" x14ac:dyDescent="0.25">
      <c r="C14" s="102" t="s">
        <v>31</v>
      </c>
      <c r="D14" s="102" t="s">
        <v>31</v>
      </c>
      <c r="E14" s="492" t="s">
        <v>31</v>
      </c>
      <c r="G14" s="95" t="s">
        <v>254</v>
      </c>
      <c r="H14" s="92" t="s">
        <v>141</v>
      </c>
      <c r="R14" s="117"/>
      <c r="S14" s="117"/>
      <c r="T14" s="102" t="s">
        <v>191</v>
      </c>
      <c r="U14" s="117"/>
      <c r="V14" s="117"/>
      <c r="W14" s="117"/>
      <c r="X14" s="117"/>
      <c r="Y14" s="117"/>
      <c r="Z14" s="117"/>
      <c r="AA14" s="117"/>
      <c r="AB14" s="117"/>
    </row>
    <row r="15" spans="1:31" x14ac:dyDescent="0.25">
      <c r="C15" s="92" t="s">
        <v>255</v>
      </c>
      <c r="D15" s="92" t="s">
        <v>34</v>
      </c>
      <c r="E15" s="119" t="s">
        <v>171</v>
      </c>
      <c r="G15" s="92"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119" t="s">
        <v>172</v>
      </c>
      <c r="G16" s="118"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119" t="s">
        <v>173</v>
      </c>
      <c r="G17" s="118" t="s">
        <v>225</v>
      </c>
      <c r="H17" s="115" t="s">
        <v>263</v>
      </c>
      <c r="R17" s="117"/>
      <c r="S17" s="117"/>
      <c r="T17" s="102" t="s">
        <v>193</v>
      </c>
      <c r="U17" s="117"/>
      <c r="V17" s="117"/>
      <c r="W17" s="117"/>
      <c r="X17" s="117"/>
      <c r="Y17" s="117"/>
      <c r="Z17" s="117"/>
      <c r="AA17" s="117"/>
      <c r="AB17" s="117"/>
    </row>
    <row r="18" spans="1:29" x14ac:dyDescent="0.25">
      <c r="C18" s="92" t="s">
        <v>264</v>
      </c>
      <c r="D18" s="92" t="s">
        <v>168</v>
      </c>
      <c r="E18" s="119" t="s">
        <v>174</v>
      </c>
      <c r="R18" s="117"/>
      <c r="S18" s="117"/>
      <c r="T18" s="117"/>
      <c r="U18" s="117"/>
      <c r="V18" s="117"/>
      <c r="W18" s="117"/>
      <c r="X18" s="117"/>
      <c r="Y18" s="117"/>
      <c r="Z18" s="117"/>
      <c r="AA18" s="117"/>
      <c r="AB18" s="117"/>
    </row>
    <row r="19" spans="1:29" x14ac:dyDescent="0.25">
      <c r="D19" s="92" t="s">
        <v>169</v>
      </c>
      <c r="E19" s="119" t="s">
        <v>37</v>
      </c>
      <c r="H19" s="118" t="s">
        <v>67</v>
      </c>
      <c r="R19" s="117"/>
      <c r="S19" s="117"/>
      <c r="T19" s="117"/>
      <c r="U19" s="117"/>
      <c r="V19" s="117"/>
      <c r="W19" s="117"/>
      <c r="X19" s="117"/>
      <c r="Y19" s="117"/>
      <c r="Z19" s="117"/>
      <c r="AA19" s="117"/>
      <c r="AB19" s="117"/>
    </row>
    <row r="20" spans="1:29" x14ac:dyDescent="0.25">
      <c r="D20" s="92" t="s">
        <v>170</v>
      </c>
      <c r="H20" s="118" t="s">
        <v>225</v>
      </c>
      <c r="R20" s="117"/>
      <c r="S20" s="117"/>
      <c r="T20" s="117"/>
      <c r="U20" s="117"/>
      <c r="V20" s="117"/>
      <c r="W20" s="117"/>
      <c r="X20" s="117"/>
      <c r="Y20" s="117"/>
      <c r="Z20" s="117"/>
      <c r="AA20" s="117"/>
      <c r="AB20" s="117"/>
    </row>
    <row r="21" spans="1:29" x14ac:dyDescent="0.25">
      <c r="R21" s="117"/>
      <c r="S21" s="117"/>
      <c r="T21" s="117"/>
      <c r="U21" s="117"/>
      <c r="V21" s="117"/>
      <c r="W21" s="117"/>
      <c r="X21" s="117"/>
      <c r="Y21" s="117"/>
      <c r="Z21" s="117"/>
      <c r="AA21" s="117"/>
      <c r="AB21" s="117"/>
    </row>
    <row r="22" spans="1:29" x14ac:dyDescent="0.25">
      <c r="E22" s="493"/>
      <c r="F22"/>
      <c r="G22"/>
      <c r="I22"/>
      <c r="J22"/>
      <c r="S22"/>
      <c r="U22"/>
      <c r="V22"/>
      <c r="W22"/>
      <c r="X22"/>
      <c r="Y22"/>
      <c r="Z22"/>
      <c r="AA22"/>
      <c r="AB22"/>
      <c r="AC22" s="104" t="s">
        <v>227</v>
      </c>
    </row>
    <row r="23" spans="1:29" x14ac:dyDescent="0.25">
      <c r="E23" s="493"/>
      <c r="F23"/>
      <c r="G23"/>
      <c r="J23"/>
      <c r="S23"/>
      <c r="U23"/>
      <c r="V23"/>
      <c r="W23"/>
      <c r="X23"/>
      <c r="Y23"/>
      <c r="Z23"/>
      <c r="AA23"/>
      <c r="AB23"/>
      <c r="AC23" s="104" t="s">
        <v>227</v>
      </c>
    </row>
    <row r="24" spans="1:29" x14ac:dyDescent="0.25">
      <c r="E24" s="493"/>
      <c r="F24"/>
      <c r="G24"/>
      <c r="J24"/>
      <c r="S24"/>
      <c r="U24"/>
      <c r="V24"/>
      <c r="W24"/>
      <c r="X24"/>
      <c r="Y24"/>
      <c r="Z24"/>
      <c r="AA24"/>
      <c r="AB24"/>
      <c r="AC24" s="104" t="s">
        <v>227</v>
      </c>
    </row>
    <row r="25" spans="1:29" x14ac:dyDescent="0.25">
      <c r="E25" s="493"/>
      <c r="F25"/>
      <c r="G25"/>
      <c r="J25"/>
      <c r="P25"/>
      <c r="S25"/>
      <c r="U25"/>
      <c r="V25"/>
      <c r="W25"/>
      <c r="X25"/>
      <c r="Y25"/>
      <c r="Z25"/>
      <c r="AA25"/>
      <c r="AB25"/>
      <c r="AC25" s="104" t="s">
        <v>227</v>
      </c>
    </row>
    <row r="26" spans="1:29" x14ac:dyDescent="0.25">
      <c r="E26" s="493"/>
      <c r="F26"/>
      <c r="G26"/>
      <c r="J26"/>
      <c r="S26"/>
      <c r="U26"/>
      <c r="V26"/>
      <c r="W26"/>
      <c r="X26"/>
      <c r="Y26"/>
      <c r="Z26"/>
      <c r="AA26"/>
      <c r="AB26"/>
      <c r="AC26" s="104" t="s">
        <v>227</v>
      </c>
    </row>
    <row r="27" spans="1:29" x14ac:dyDescent="0.25">
      <c r="E27" s="493"/>
      <c r="F27"/>
      <c r="G27"/>
      <c r="I27" s="120"/>
      <c r="S27"/>
      <c r="U27"/>
      <c r="V27"/>
      <c r="W27"/>
      <c r="X27"/>
      <c r="Y27"/>
      <c r="Z27"/>
      <c r="AA27"/>
      <c r="AB27"/>
      <c r="AC27" s="104" t="s">
        <v>227</v>
      </c>
    </row>
    <row r="28" spans="1:29" x14ac:dyDescent="0.25">
      <c r="E28" s="493"/>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IF(AND(OR('DSCR (LP)'!S11='Feed(DSCR)'!B8:B11),OR('DSCR (LP)'!S13=C8:C10)),TRUE,FALSE)</f>
        <v>0</v>
      </c>
      <c r="F30"/>
      <c r="G30"/>
      <c r="H30"/>
      <c r="S30"/>
      <c r="U30"/>
      <c r="V30"/>
      <c r="W30"/>
      <c r="X30"/>
      <c r="Y30"/>
      <c r="Z30"/>
      <c r="AA30"/>
      <c r="AB30"/>
      <c r="AC30" s="104" t="s">
        <v>227</v>
      </c>
    </row>
    <row r="31" spans="1:29" x14ac:dyDescent="0.25">
      <c r="A31" s="102"/>
      <c r="B31" s="102"/>
      <c r="S31"/>
      <c r="U31"/>
      <c r="V31"/>
      <c r="W31"/>
      <c r="X31"/>
      <c r="Y31"/>
      <c r="Z31"/>
      <c r="AA31"/>
      <c r="AB31"/>
      <c r="AC31" s="104" t="s">
        <v>227</v>
      </c>
    </row>
    <row r="32" spans="1:29" x14ac:dyDescent="0.25">
      <c r="A32" s="102"/>
      <c r="B32" s="102"/>
      <c r="S32"/>
      <c r="U32"/>
      <c r="V32"/>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c r="P35"/>
      <c r="Q35"/>
      <c r="R35"/>
      <c r="S35"/>
      <c r="T35"/>
      <c r="U35"/>
      <c r="V35"/>
      <c r="W35"/>
      <c r="X35"/>
      <c r="Y35"/>
      <c r="Z35"/>
      <c r="AA35"/>
      <c r="AB35"/>
      <c r="AC35" s="104" t="s">
        <v>227</v>
      </c>
    </row>
    <row r="36" spans="1:42" x14ac:dyDescent="0.25">
      <c r="L36"/>
      <c r="O36"/>
      <c r="P36"/>
      <c r="Q36"/>
      <c r="R36"/>
      <c r="S36"/>
      <c r="T36"/>
      <c r="U36" s="365" t="s">
        <v>267</v>
      </c>
      <c r="V36" s="369"/>
      <c r="W36" s="369"/>
      <c r="X36"/>
      <c r="Y36" s="365" t="s">
        <v>268</v>
      </c>
      <c r="Z36" s="369"/>
      <c r="AA36" s="369"/>
      <c r="AB36"/>
    </row>
    <row r="37" spans="1:42" ht="15.75" thickBot="1" x14ac:dyDescent="0.3">
      <c r="F37" s="365" t="s">
        <v>269</v>
      </c>
      <c r="G37" s="366"/>
      <c r="H37" s="366"/>
      <c r="L37" s="122" t="s">
        <v>270</v>
      </c>
      <c r="O37"/>
      <c r="P37"/>
      <c r="Q37" s="372" t="s">
        <v>271</v>
      </c>
      <c r="R37" s="373"/>
      <c r="S37" s="373"/>
      <c r="T37"/>
      <c r="U37" s="366" t="s">
        <v>272</v>
      </c>
      <c r="V37" s="366"/>
      <c r="W37" s="366" t="s">
        <v>273</v>
      </c>
      <c r="Y37" s="366" t="s">
        <v>272</v>
      </c>
      <c r="Z37" s="366"/>
      <c r="AA37" s="366" t="s">
        <v>274</v>
      </c>
      <c r="AG37" s="610" t="s">
        <v>275</v>
      </c>
      <c r="AH37" s="609"/>
      <c r="AI37" s="609"/>
      <c r="AJ37"/>
      <c r="AK37" s="610" t="s">
        <v>276</v>
      </c>
      <c r="AL37" s="609"/>
      <c r="AM37" s="609"/>
      <c r="AN37"/>
      <c r="AO37" s="104" t="s">
        <v>227</v>
      </c>
      <c r="AP37" s="104"/>
    </row>
    <row r="38" spans="1:42" x14ac:dyDescent="0.25">
      <c r="A38" s="123" t="s">
        <v>277</v>
      </c>
      <c r="C38" s="102"/>
      <c r="D38" s="102"/>
      <c r="F38" s="366" t="s">
        <v>278</v>
      </c>
      <c r="G38" s="366"/>
      <c r="H38" s="366" t="s">
        <v>279</v>
      </c>
      <c r="L38" s="92" t="s">
        <v>280</v>
      </c>
      <c r="M38" s="153" t="str" cm="1">
        <f t="array" ref="M38">IF(AND(OR('DSCR (LP)'!S24=K4:K5),'DSCR (LP)'!S13=C7,OR('DSCR (LP)'!S11=B10:B11)),NA(),"")</f>
        <v/>
      </c>
      <c r="N38" s="92" t="s">
        <v>281</v>
      </c>
      <c r="O38"/>
      <c r="P38"/>
      <c r="Q38" s="374" t="s">
        <v>282</v>
      </c>
      <c r="R38" s="374"/>
      <c r="S38" s="374" t="s">
        <v>283</v>
      </c>
      <c r="T38"/>
      <c r="U38" s="366" t="s">
        <v>272</v>
      </c>
      <c r="V38" s="366"/>
      <c r="W38" s="366" t="s">
        <v>284</v>
      </c>
      <c r="Y38" s="366" t="s">
        <v>272</v>
      </c>
      <c r="Z38" s="366"/>
      <c r="AA38" s="366" t="s">
        <v>285</v>
      </c>
      <c r="AG38" s="342" t="s">
        <v>286</v>
      </c>
      <c r="AH38" s="342"/>
      <c r="AI38" s="342" t="s">
        <v>287</v>
      </c>
      <c r="AJ38"/>
      <c r="AK38" t="s">
        <v>288</v>
      </c>
      <c r="AL38" s="342" t="str">
        <f>IF(AND(
   ISNUMBER(MATCH('DSCR (LP)'!$S$12, $A$10:$A$12, 0)),
   ISNUMBER(MATCH('DSCR (LP)'!$S$11, $B$8:$B$11, 0)),
   ISNUMBER(MATCH('DSCR (LP)'!$S$20, $G$4:$G$5, 0)),
   ISNUMBER(MATCH('DSCR (LP)'!$S$13, $C$6:$C$7, 0)),
   'DSCR (LP)'!$S$21 = $J$7
), NA(), "")</f>
        <v/>
      </c>
      <c r="AM38" t="s">
        <v>289</v>
      </c>
      <c r="AN38"/>
      <c r="AO38" s="104" t="s">
        <v>227</v>
      </c>
      <c r="AP38" s="104"/>
    </row>
    <row r="39" spans="1:42" x14ac:dyDescent="0.25">
      <c r="A39" s="359" t="s">
        <v>157</v>
      </c>
      <c r="B39" s="359"/>
      <c r="C39" s="370" t="s">
        <v>290</v>
      </c>
      <c r="D39" s="102"/>
      <c r="F39" s="366" t="s">
        <v>291</v>
      </c>
      <c r="G39" s="366"/>
      <c r="H39" s="366" t="s">
        <v>292</v>
      </c>
      <c r="L39" s="92" t="s">
        <v>280</v>
      </c>
      <c r="M39" s="153" t="str" cm="1">
        <f t="array" ref="M39">IF(AND(OR('DSCR (LP)'!S24=K4:K5),'DSCR (LP)'!S13=C7,OR('DSCR (LP)'!S11=B9:B11),OR('DSCR (LP)'!S21=J6:J7)),NA(),"")</f>
        <v/>
      </c>
      <c r="N39" s="92" t="s">
        <v>293</v>
      </c>
      <c r="O39"/>
      <c r="P39"/>
      <c r="Q39" s="374" t="s">
        <v>294</v>
      </c>
      <c r="R39" s="374"/>
      <c r="S39" s="374" t="s">
        <v>295</v>
      </c>
      <c r="T39"/>
      <c r="U39" s="366" t="s">
        <v>272</v>
      </c>
      <c r="V39" s="366"/>
      <c r="W39" s="366" t="s">
        <v>296</v>
      </c>
      <c r="Y39" s="366" t="s">
        <v>272</v>
      </c>
      <c r="Z39" s="366"/>
      <c r="AA39" s="366" t="s">
        <v>297</v>
      </c>
      <c r="AG39" s="342"/>
      <c r="AH39" s="342" t="str">
        <f>IF(AND(
   ISNUMBER(MATCH('DSCR (LP)'!$S$13, $C$3:$C$9, 0)),
   'DSCR (LP)'!$S$29 = $T$15
), NA(), "")</f>
        <v/>
      </c>
      <c r="AI39" s="342" t="s">
        <v>298</v>
      </c>
      <c r="AJ39"/>
      <c r="AK39" t="s">
        <v>299</v>
      </c>
      <c r="AL39" s="342" t="str">
        <f>IF(AND(
   ISNUMBER(MATCH('DSCR (LP)'!$S$12, $A$11:$A$12, 0)),
   ISNUMBER(MATCH('DSCR (LP)'!$S$11, $B$7:$B$11, 0)),
   ISNUMBER(MATCH('DSCR (LP)'!$S$21, $J$6:$J$7, 0)),
   ISNUMBER(MATCH('DSCR (LP)'!$S$13, $C$6:$C$7, 0)),
   'DSCR (LP)'!$S$20 = $G$5
), NA(), "")</f>
        <v/>
      </c>
      <c r="AM39" t="s">
        <v>300</v>
      </c>
      <c r="AN39"/>
      <c r="AO39" s="104" t="s">
        <v>227</v>
      </c>
      <c r="AP39" s="104"/>
    </row>
    <row r="40" spans="1:42" x14ac:dyDescent="0.25">
      <c r="A40" s="359" t="s">
        <v>157</v>
      </c>
      <c r="B40" s="359"/>
      <c r="C40" s="370" t="s">
        <v>301</v>
      </c>
      <c r="D40" s="102"/>
      <c r="F40" s="366" t="s">
        <v>49</v>
      </c>
      <c r="G40" s="366"/>
      <c r="H40" s="366" t="s">
        <v>302</v>
      </c>
      <c r="L40" s="102" t="s">
        <v>176</v>
      </c>
      <c r="M40" s="153" t="str" cm="1">
        <f t="array" ref="M40">IF(AND(OR('DSCR (LP)'!S12='Feed(DSCR)'!A3:A12),'DSCR (LP)'!S17='Feed(DSCR)'!D3,OR('DSCR (LP)'!S11='Feed(DSCR)'!B9:B11),OR('DSCR (LP)'!S21='Feed(DSCR)'!J6:J7)),NA(),"")</f>
        <v/>
      </c>
      <c r="N40" s="92" t="s">
        <v>303</v>
      </c>
      <c r="Q40" s="374" t="s">
        <v>294</v>
      </c>
      <c r="R40" s="374"/>
      <c r="S40" s="374" t="s">
        <v>304</v>
      </c>
      <c r="U40" s="366" t="s">
        <v>272</v>
      </c>
      <c r="V40" s="366"/>
      <c r="W40" s="366" t="s">
        <v>305</v>
      </c>
      <c r="Y40" s="366" t="s">
        <v>272</v>
      </c>
      <c r="Z40" s="366"/>
      <c r="AA40" s="366" t="s">
        <v>305</v>
      </c>
      <c r="AG40"/>
      <c r="AH40"/>
      <c r="AI40"/>
      <c r="AJ40"/>
      <c r="AK40"/>
      <c r="AL40"/>
      <c r="AM40"/>
      <c r="AN40"/>
      <c r="AO40" s="104" t="s">
        <v>227</v>
      </c>
      <c r="AP40" s="104"/>
    </row>
    <row r="41" spans="1:42" x14ac:dyDescent="0.25">
      <c r="A41" s="359" t="s">
        <v>157</v>
      </c>
      <c r="B41" s="359"/>
      <c r="C41" s="370" t="s">
        <v>306</v>
      </c>
      <c r="D41" s="102"/>
      <c r="F41" s="366" t="s">
        <v>49</v>
      </c>
      <c r="G41" s="366"/>
      <c r="H41" s="366" t="s">
        <v>307</v>
      </c>
      <c r="J41" s="102"/>
      <c r="K41" s="102"/>
      <c r="L41" s="102" t="s">
        <v>308</v>
      </c>
      <c r="M41" s="153" t="str" cm="1">
        <f t="array" ref="M41">IF(AND(OR('DSCR (LP)'!S13='Feed(DSCR)'!C5),OR('DSCR (LP)'!S24='Feed(DSCR)'!K4:K5,'DSCR (LP)'!S24='Feed(DSCR)'!K8)),NA(),"")</f>
        <v/>
      </c>
      <c r="N41" s="92" t="s">
        <v>309</v>
      </c>
      <c r="O41" s="102"/>
      <c r="P41" s="102"/>
      <c r="Q41" s="374" t="s">
        <v>310</v>
      </c>
      <c r="R41" s="374"/>
      <c r="S41" s="374" t="s">
        <v>311</v>
      </c>
      <c r="U41" s="366" t="s">
        <v>272</v>
      </c>
      <c r="V41" s="366"/>
      <c r="W41" s="366" t="s">
        <v>312</v>
      </c>
      <c r="Y41" s="366" t="s">
        <v>272</v>
      </c>
      <c r="Z41" s="366"/>
      <c r="AA41" s="366" t="s">
        <v>312</v>
      </c>
      <c r="AG41"/>
      <c r="AH41"/>
      <c r="AI41"/>
      <c r="AJ41"/>
      <c r="AK41" t="s">
        <v>923</v>
      </c>
      <c r="AL41" s="342" t="str">
        <f>IF(AND(ISNUMBER(MATCH('DSCR (LP)'!$S$12,$A$3:$A$5,0)),ISNUMBER(MATCH('DSCR (LP)'!$S$11,$B$9:$B$11,0)),ISNUMBER(MATCH('DSCR (LP)'!$S$21,$J$5,0)),ISNUMBER(MATCH('DSCR (LP)'!$S$13,$C$6:$C$7,0)),'DSCR (LP)'!$S$20=$G$8
),NA(),"")</f>
        <v/>
      </c>
      <c r="AM41" t="s">
        <v>924</v>
      </c>
      <c r="AN41"/>
      <c r="AO41" s="104" t="s">
        <v>227</v>
      </c>
      <c r="AP41" s="104"/>
    </row>
    <row r="42" spans="1:42" x14ac:dyDescent="0.25">
      <c r="A42" s="359" t="s">
        <v>157</v>
      </c>
      <c r="B42" s="359"/>
      <c r="C42" s="370" t="s">
        <v>313</v>
      </c>
      <c r="D42" s="102"/>
      <c r="F42" s="366" t="s">
        <v>49</v>
      </c>
      <c r="G42" s="366"/>
      <c r="H42" s="366" t="s">
        <v>314</v>
      </c>
      <c r="J42" s="102"/>
      <c r="K42" s="102"/>
      <c r="L42" s="102" t="s">
        <v>176</v>
      </c>
      <c r="M42" s="153" t="str" cm="1">
        <f t="array" ref="M42">IF(AND(OR('DSCR (LP)'!S13='Feed(DSCR)'!C8),'DSCR (LP)'!S17='Feed(DSCR)'!D3,OR('DSCR (LP)'!S12='Feed(DSCR)'!A11:A12)),NA(),"")</f>
        <v/>
      </c>
      <c r="N42" s="92" t="s">
        <v>315</v>
      </c>
      <c r="O42" s="102"/>
      <c r="P42" s="102"/>
      <c r="Q42" s="374" t="s">
        <v>282</v>
      </c>
      <c r="R42" s="374"/>
      <c r="S42" s="374" t="s">
        <v>316</v>
      </c>
      <c r="U42" s="366" t="s">
        <v>272</v>
      </c>
      <c r="V42" s="366"/>
      <c r="W42" s="366" t="s">
        <v>317</v>
      </c>
      <c r="Y42" s="366" t="s">
        <v>272</v>
      </c>
      <c r="Z42" s="366"/>
      <c r="AA42" s="366" t="s">
        <v>317</v>
      </c>
      <c r="AI42" s="104"/>
      <c r="AJ42" s="104"/>
      <c r="AK42" t="s">
        <v>923</v>
      </c>
      <c r="AL42" s="342" t="str">
        <f>IF(AND(ISNUMBER(MATCH('DSCR (LP)'!$S$12,$A$3:$A$5,0)),ISNUMBER(MATCH('DSCR (LP)'!$S$11,$B$9:$B$11,0)),ISNUMBER(MATCH('DSCR (LP)'!$S$21,$J$5,0)),ISNUMBER(MATCH('DSCR (LP)'!$S$13,$C$6:$C$7,0)),'DSCR (LP)'!$S$20=$G$9
),NA(),"")</f>
        <v/>
      </c>
      <c r="AM42" t="s">
        <v>925</v>
      </c>
      <c r="AN42" s="104"/>
      <c r="AO42" s="123"/>
      <c r="AP42" s="104"/>
    </row>
    <row r="43" spans="1:42" x14ac:dyDescent="0.25">
      <c r="A43" s="359" t="s">
        <v>320</v>
      </c>
      <c r="B43" s="359"/>
      <c r="C43" s="370" t="s">
        <v>321</v>
      </c>
      <c r="D43" s="102"/>
      <c r="F43" s="366" t="s">
        <v>280</v>
      </c>
      <c r="G43" s="366"/>
      <c r="H43" s="366" t="s">
        <v>322</v>
      </c>
      <c r="J43" s="102"/>
      <c r="K43" s="102"/>
      <c r="L43" s="102" t="s">
        <v>308</v>
      </c>
      <c r="M43" s="153" t="str">
        <f>IF(AND(OR('DSCR (LP)'!S13='Feed(DSCR)'!C5),OR('DSCR (LP)'!S18='Feed(DSCR)'!E9)),NA(),"")</f>
        <v/>
      </c>
      <c r="N43" s="92" t="s">
        <v>323</v>
      </c>
      <c r="O43" s="102"/>
      <c r="P43" s="102"/>
      <c r="Q43" s="374" t="s">
        <v>282</v>
      </c>
      <c r="R43" s="374"/>
      <c r="S43" s="374" t="s">
        <v>324</v>
      </c>
      <c r="U43" s="366" t="s">
        <v>272</v>
      </c>
      <c r="V43" s="366"/>
      <c r="W43" s="366" t="s">
        <v>325</v>
      </c>
      <c r="Y43" s="366" t="s">
        <v>272</v>
      </c>
      <c r="Z43" s="366"/>
      <c r="AA43" s="366" t="s">
        <v>325</v>
      </c>
      <c r="AG43" s="153" t="s">
        <v>326</v>
      </c>
      <c r="AH43" s="153" t="str" cm="1">
        <f t="array" ref="AH43">IF(AND(OR('DSCR (LP)'!S23=L5:L6),('DSCR (LP)'!S27=H3),OR('DSCR (LP)'!S29='Feed(DSCR)'!T3)),NA(),"")</f>
        <v/>
      </c>
      <c r="AI43" s="154" t="s">
        <v>319</v>
      </c>
      <c r="AJ43" s="104"/>
      <c r="AK43" t="s">
        <v>923</v>
      </c>
      <c r="AL43" s="342" t="str">
        <f>IF(AND(ISNUMBER(MATCH('DSCR (LP)'!$S$12,$A$3:$A$5,0)),ISNUMBER(MATCH('DSCR (LP)'!$S$11,$B$8:$B$11,0)),ISNUMBER(MATCH('DSCR (LP)'!$S$21,$J$5,0)),ISNUMBER(MATCH('DSCR (LP)'!$S$13,$C$6:$C$7,0)),'DSCR (LP)'!$S$20=$G$10
),NA(),"")</f>
        <v/>
      </c>
      <c r="AM43" t="s">
        <v>926</v>
      </c>
      <c r="AN43" s="104"/>
      <c r="AO43" s="102"/>
    </row>
    <row r="44" spans="1:42" x14ac:dyDescent="0.25">
      <c r="A44" s="377" t="s">
        <v>327</v>
      </c>
      <c r="B44" s="377" t="str">
        <f>IF(AND(ISNUMBER(MATCH('DSCR (LP)'!S23,L3:L4,0)),
        ISNUMBER(MATCH('DSCR (LP)'!S27,H5:H14,0))),NA(),"")</f>
        <v/>
      </c>
      <c r="C44" s="366" t="s">
        <v>328</v>
      </c>
      <c r="D44" s="102"/>
      <c r="F44" s="366" t="s">
        <v>280</v>
      </c>
      <c r="G44" s="366"/>
      <c r="H44" s="366" t="s">
        <v>329</v>
      </c>
      <c r="J44" s="102"/>
      <c r="K44" s="102"/>
      <c r="L44" s="102" t="s">
        <v>330</v>
      </c>
      <c r="M44" s="153" t="str" cm="1">
        <f t="array" ref="M44">IF(AND('DSCR (LP)'!S17='Feed(DSCR)'!D3,OR('DSCR (LP)'!S29=T8),OR('DSCR (LP)'!S20='Feed(DSCR)'!G8:G12)),NA(),"")</f>
        <v/>
      </c>
      <c r="N44" s="92" t="s">
        <v>331</v>
      </c>
      <c r="O44" s="102"/>
      <c r="P44" s="102"/>
      <c r="Q44" s="375" t="s">
        <v>282</v>
      </c>
      <c r="R44" s="374"/>
      <c r="S44" s="374" t="s">
        <v>332</v>
      </c>
      <c r="U44" s="366" t="s">
        <v>272</v>
      </c>
      <c r="V44" s="366"/>
      <c r="W44" s="366" t="s">
        <v>296</v>
      </c>
      <c r="Y44" s="366" t="s">
        <v>272</v>
      </c>
      <c r="Z44" s="366"/>
      <c r="AA44" s="366" t="s">
        <v>296</v>
      </c>
      <c r="AG44" s="153" t="s">
        <v>333</v>
      </c>
      <c r="AH44" s="153"/>
      <c r="AI44" s="154" t="s">
        <v>334</v>
      </c>
      <c r="AJ44" s="104"/>
      <c r="AK44" t="s">
        <v>923</v>
      </c>
      <c r="AL44" s="342" t="str" cm="1">
        <f t="array" ref="AL44">IF(AND(ISNUMBER(MATCH('DSCR (LP)'!$S$12,$A$3:$A$5,0)),ISNUMBER(MATCH('DSCR (LP)'!$S$11,$B$6:$B$11,0)),ISNUMBER(MATCH('DSCR (LP)'!$S$21,$J$5,0)),ISNUMBER(MATCH('DSCR (LP)'!$S$13,$C$6:$C$7,0)),'DSCR (LP)'!$S$20=$G$11:$G$12
),NA(),"")</f>
        <v/>
      </c>
      <c r="AM44" t="s">
        <v>927</v>
      </c>
      <c r="AN44" s="104"/>
      <c r="AO44" s="104"/>
      <c r="AP44" s="104"/>
    </row>
    <row r="45" spans="1:42" x14ac:dyDescent="0.25">
      <c r="A45" s="379">
        <v>1099</v>
      </c>
      <c r="B45" s="377"/>
      <c r="C45" s="366" t="s">
        <v>335</v>
      </c>
      <c r="D45" s="102"/>
      <c r="F45" s="366" t="s">
        <v>280</v>
      </c>
      <c r="G45" s="366"/>
      <c r="H45" s="366" t="s">
        <v>336</v>
      </c>
      <c r="J45" s="102"/>
      <c r="K45" s="102"/>
      <c r="L45" s="102" t="s">
        <v>176</v>
      </c>
      <c r="M45" s="153" t="str" cm="1">
        <f t="array" ref="M45">IF(AND(OR('DSCR (LP)'!S13='Feed(DSCR)'!C5,'DSCR (LP)'!S13='Feed(DSCR)'!C7:C8),'DSCR (LP)'!S17='Feed(DSCR)'!D3,OR('DSCR (LP)'!S11='Feed(DSCR)'!B10:B11)),NA(),"")</f>
        <v/>
      </c>
      <c r="N45" s="92" t="s">
        <v>337</v>
      </c>
      <c r="O45" s="102"/>
      <c r="P45" s="102"/>
      <c r="Q45" s="375" t="s">
        <v>282</v>
      </c>
      <c r="R45" s="374"/>
      <c r="S45" s="374" t="s">
        <v>338</v>
      </c>
      <c r="U45" s="366" t="s">
        <v>272</v>
      </c>
      <c r="V45" s="366"/>
      <c r="W45" s="366" t="s">
        <v>339</v>
      </c>
      <c r="Y45" s="366" t="s">
        <v>272</v>
      </c>
      <c r="Z45" s="366"/>
      <c r="AA45" s="366" t="s">
        <v>339</v>
      </c>
      <c r="AG45" s="153" t="s">
        <v>340</v>
      </c>
      <c r="AH45" s="153" t="str" cm="1">
        <f t="array" ref="AH45">IF(AND(OR('DSCR (LP)'!S23=L5:L6),OR('DSCR (LP)'!S27=H3,'DSCR (LP)'!S27=H8:H9),OR('DSCR (LP)'!S29='Feed(DSCR)'!T6)),NA(),"")</f>
        <v/>
      </c>
      <c r="AI45" s="154" t="s">
        <v>334</v>
      </c>
      <c r="AJ45" s="104"/>
      <c r="AK45" s="102"/>
      <c r="AN45" s="104"/>
      <c r="AO45" s="104"/>
      <c r="AP45" s="104"/>
    </row>
    <row r="46" spans="1:42" x14ac:dyDescent="0.25">
      <c r="A46" s="359" t="s">
        <v>320</v>
      </c>
      <c r="B46" s="359"/>
      <c r="C46" s="370" t="s">
        <v>341</v>
      </c>
      <c r="D46" s="102"/>
      <c r="F46" s="366" t="s">
        <v>280</v>
      </c>
      <c r="G46" s="366"/>
      <c r="H46" s="366" t="s">
        <v>342</v>
      </c>
      <c r="I46"/>
      <c r="J46"/>
      <c r="K46" s="102"/>
      <c r="L46" s="92" t="s">
        <v>343</v>
      </c>
      <c r="M46" s="153" t="str" cm="1">
        <f t="array" ref="M46">IF(AND(OR('DSCR (LP)'!S28=J15),OR('DSCR (LP)'!S27=H4:H9),OR('DSCR (LP)'!S29='Feed(DSCR)'!T14:T14)),NA(),"")</f>
        <v/>
      </c>
      <c r="N46" s="92" t="s">
        <v>344</v>
      </c>
      <c r="O46" s="102"/>
      <c r="P46" s="102"/>
      <c r="Q46" s="375" t="s">
        <v>282</v>
      </c>
      <c r="R46" s="374"/>
      <c r="S46" s="374" t="s">
        <v>345</v>
      </c>
      <c r="U46" s="366" t="s">
        <v>272</v>
      </c>
      <c r="V46" s="371"/>
      <c r="W46" s="366" t="s">
        <v>346</v>
      </c>
      <c r="Y46" s="366" t="s">
        <v>272</v>
      </c>
      <c r="Z46" s="371"/>
      <c r="AA46" s="366" t="s">
        <v>346</v>
      </c>
      <c r="AG46" s="102"/>
      <c r="AJ46" s="104"/>
      <c r="AK46" s="104"/>
      <c r="AL46" s="104"/>
      <c r="AM46" s="104"/>
      <c r="AN46" s="104"/>
      <c r="AO46" s="104"/>
      <c r="AP46" s="104"/>
    </row>
    <row r="47" spans="1:42" x14ac:dyDescent="0.25">
      <c r="A47" s="377" t="s">
        <v>347</v>
      </c>
      <c r="B47" s="377"/>
      <c r="C47" s="366"/>
      <c r="D47" s="102"/>
      <c r="F47" s="366" t="s">
        <v>280</v>
      </c>
      <c r="G47" s="366"/>
      <c r="H47" s="366" t="s">
        <v>348</v>
      </c>
      <c r="I47" s="102"/>
      <c r="J47" s="102"/>
      <c r="K47" s="102"/>
      <c r="L47" s="92" t="s">
        <v>349</v>
      </c>
      <c r="M47" s="153" t="str" cm="1">
        <f t="array" ref="M47">IF(AND(OR('DSCR (LP)'!S28=J16),('DSCR (LP)'!S27=H3),OR('DSCR (LP)'!S29='Feed(DSCR)'!T14:T14)),NA(),"")</f>
        <v/>
      </c>
      <c r="N47" s="92" t="s">
        <v>350</v>
      </c>
      <c r="O47" s="102"/>
      <c r="P47" s="102"/>
      <c r="Q47" s="375" t="s">
        <v>282</v>
      </c>
      <c r="R47" s="374"/>
      <c r="S47" s="374" t="s">
        <v>351</v>
      </c>
      <c r="U47" s="366" t="s">
        <v>272</v>
      </c>
      <c r="V47" s="366"/>
      <c r="W47" s="366" t="s">
        <v>352</v>
      </c>
      <c r="Y47" s="366" t="s">
        <v>272</v>
      </c>
      <c r="Z47" s="366"/>
      <c r="AA47" s="366" t="s">
        <v>352</v>
      </c>
      <c r="AG47" s="153" t="s">
        <v>353</v>
      </c>
      <c r="AH47" s="342" t="str">
        <f>IF(AND(OR('DSCR (LP)'!$S$25='Feed(DSCR)'!$M$6),'DSCR (LP)'!$S$24='Feed(DSCR)'!$K$10),NA(),"")</f>
        <v/>
      </c>
      <c r="AI47" s="154"/>
      <c r="AJ47" s="104"/>
      <c r="AK47" s="104"/>
      <c r="AL47"/>
      <c r="AM47"/>
      <c r="AN47"/>
      <c r="AO47" s="104" t="s">
        <v>227</v>
      </c>
      <c r="AP47" s="104"/>
    </row>
    <row r="48" spans="1:42" x14ac:dyDescent="0.25">
      <c r="A48" s="359" t="s">
        <v>354</v>
      </c>
      <c r="B48" s="359"/>
      <c r="C48" s="370" t="s">
        <v>355</v>
      </c>
      <c r="D48" s="102"/>
      <c r="F48" s="366" t="s">
        <v>52</v>
      </c>
      <c r="G48" s="366"/>
      <c r="H48" s="366" t="s">
        <v>356</v>
      </c>
      <c r="I48" s="102"/>
      <c r="J48" s="102"/>
      <c r="K48" s="102"/>
      <c r="L48" s="92" t="s">
        <v>357</v>
      </c>
      <c r="M48" s="153" t="str">
        <f>IF(AND(OR('DSCR (LP)'!S28=J15),('DSCR (LP)'!S27=H3),('DSCR (LP)'!S29='Feed(DSCR)'!T3)),NA(),"")</f>
        <v/>
      </c>
      <c r="N48" s="92" t="s">
        <v>358</v>
      </c>
      <c r="O48" s="102"/>
      <c r="P48" s="102"/>
      <c r="Q48" s="375" t="s">
        <v>282</v>
      </c>
      <c r="R48" s="374"/>
      <c r="S48" s="374" t="s">
        <v>359</v>
      </c>
      <c r="U48" s="366" t="s">
        <v>272</v>
      </c>
      <c r="V48" s="371"/>
      <c r="W48" s="366" t="s">
        <v>360</v>
      </c>
      <c r="Y48" s="366" t="s">
        <v>272</v>
      </c>
      <c r="Z48" s="371"/>
      <c r="AA48" s="366" t="s">
        <v>360</v>
      </c>
      <c r="AG48" s="342" t="s">
        <v>361</v>
      </c>
      <c r="AH48" s="342" t="str">
        <f>IF(AND(OR('DSCR (LP)'!$S$26='Feed(DSCR)'!$I$4),'DSCR (LP)'!$S$24='Feed(DSCR)'!$K$10),NA(),"")</f>
        <v/>
      </c>
      <c r="AI48" s="342" t="s">
        <v>362</v>
      </c>
      <c r="AJ48"/>
      <c r="AK48"/>
      <c r="AL48"/>
      <c r="AM48"/>
      <c r="AN48"/>
      <c r="AO48" s="104" t="s">
        <v>227</v>
      </c>
      <c r="AP48" s="104"/>
    </row>
    <row r="49" spans="1:42" x14ac:dyDescent="0.25">
      <c r="A49" s="359" t="s">
        <v>363</v>
      </c>
      <c r="B49" s="359"/>
      <c r="C49" s="370" t="s">
        <v>365</v>
      </c>
      <c r="D49" s="102"/>
      <c r="F49" s="366" t="s">
        <v>366</v>
      </c>
      <c r="G49" s="366"/>
      <c r="H49" s="366" t="s">
        <v>367</v>
      </c>
      <c r="I49" s="102"/>
      <c r="J49" s="102"/>
      <c r="L49" s="92" t="s">
        <v>368</v>
      </c>
      <c r="M49" s="153" t="str">
        <f>IF(AND(OR('DSCR (LP)'!S28=J16),('DSCR (LP)'!S27=H3),('DSCR (LP)'!S29='Feed(DSCR)'!T3)),NA(),"")</f>
        <v/>
      </c>
      <c r="N49" s="92" t="s">
        <v>369</v>
      </c>
      <c r="O49" s="102"/>
      <c r="P49" s="102"/>
      <c r="Q49" s="375" t="s">
        <v>282</v>
      </c>
      <c r="R49" s="374"/>
      <c r="S49" s="374" t="s">
        <v>370</v>
      </c>
      <c r="U49" s="366" t="s">
        <v>272</v>
      </c>
      <c r="V49" s="371"/>
      <c r="W49" s="366" t="s">
        <v>371</v>
      </c>
      <c r="Y49" s="366" t="s">
        <v>272</v>
      </c>
      <c r="Z49" s="371"/>
      <c r="AA49" s="366" t="s">
        <v>372</v>
      </c>
      <c r="AG49" s="153" t="s">
        <v>373</v>
      </c>
      <c r="AH49" s="342" t="str">
        <f>IF(AND(
   ISNUMBER(MATCH('DSCR (LP)'!$S$11, $B$8:$B$11, 0)),
   ISNUMBER(MATCH('DSCR (LP)'!$S$12, $A$7:$A$12, 0)),
   ISNUMBER(MATCH('DSCR (LP)'!$S$21, $J$3:$J$4, 0)),
   'DSCR (LP)'!$S$13 = $C$8), NA(), "")</f>
        <v/>
      </c>
      <c r="AI49" s="342" t="s">
        <v>374</v>
      </c>
      <c r="AJ49"/>
      <c r="AK49"/>
      <c r="AL49"/>
      <c r="AM49"/>
      <c r="AN49"/>
      <c r="AO49" s="104" t="s">
        <v>227</v>
      </c>
      <c r="AP49" s="104"/>
    </row>
    <row r="50" spans="1:42" x14ac:dyDescent="0.25">
      <c r="A50" s="193" t="s">
        <v>375</v>
      </c>
      <c r="B50" s="193" t="str" cm="1">
        <f t="array" ref="B50">IF(AND(OR('DSCR (LP)'!S11='Feed(DSCR)'!B10:B11),OR('DSCR (LP)'!S23='Feed(DSCR)'!L5:L6),OR('DSCR (LP)'!S27='Feed(DSCR)'!H2:H4)),NA(),"")</f>
        <v/>
      </c>
      <c r="C50" s="381" t="s">
        <v>376</v>
      </c>
      <c r="D50" s="102"/>
      <c r="E50" s="492"/>
      <c r="F50" s="366" t="s">
        <v>377</v>
      </c>
      <c r="G50" s="366"/>
      <c r="H50" s="366" t="s">
        <v>378</v>
      </c>
      <c r="I50" s="102"/>
      <c r="J50" s="102"/>
      <c r="L50" s="92" t="s">
        <v>379</v>
      </c>
      <c r="M50" s="153" t="str" cm="1">
        <f t="array" ref="M50">IF(AND(OR('DSCR (LP)'!S28=J14),OR('DSCR (LP)'!S27=H4:H9),('DSCR (LP)'!S29='Feed(DSCR)'!T14)),NA(),"")</f>
        <v/>
      </c>
      <c r="N50" s="92" t="s">
        <v>380</v>
      </c>
      <c r="O50" s="102"/>
      <c r="P50" s="102"/>
      <c r="Q50" s="375" t="s">
        <v>282</v>
      </c>
      <c r="R50" s="374"/>
      <c r="S50" s="374" t="s">
        <v>381</v>
      </c>
      <c r="U50" s="366" t="s">
        <v>272</v>
      </c>
      <c r="V50" s="371"/>
      <c r="W50" s="366" t="s">
        <v>382</v>
      </c>
      <c r="Y50" s="366" t="s">
        <v>272</v>
      </c>
      <c r="Z50" s="371"/>
      <c r="AA50" s="366" t="s">
        <v>383</v>
      </c>
      <c r="AG50" s="153" t="s">
        <v>384</v>
      </c>
      <c r="AH50" s="153" t="str">
        <f>IF(AND(
   ISNUMBER(MATCH('DSCR (LP)'!$S$11, $B$9:$B$11, 0)),
   ISNUMBER(MATCH('DSCR (LP)'!$S$12, $A$3:$A$6, 0)),
   'DSCR (LP)'!$S$21 = $J$3,
   'DSCR (LP)'!$S$13 = $C$8
), NA(), "")</f>
        <v/>
      </c>
      <c r="AI50" s="153" t="s">
        <v>385</v>
      </c>
      <c r="AJ50"/>
      <c r="AK50"/>
      <c r="AL50"/>
      <c r="AM50"/>
      <c r="AN50"/>
      <c r="AO50" s="104" t="s">
        <v>227</v>
      </c>
      <c r="AP50" s="104"/>
    </row>
    <row r="51" spans="1:42" x14ac:dyDescent="0.25">
      <c r="A51" s="358" t="s">
        <v>386</v>
      </c>
      <c r="B51" s="359"/>
      <c r="C51" s="380" t="s">
        <v>387</v>
      </c>
      <c r="D51" s="102" t="e" cm="1">
        <f t="array" ref="D51">IF(AND(OR(#REF!=A10:A12),#REF!=C4),NA(),"")</f>
        <v>#REF!</v>
      </c>
      <c r="E51" s="492"/>
      <c r="F51" s="366" t="s">
        <v>388</v>
      </c>
      <c r="G51" s="366"/>
      <c r="H51" s="366" t="s">
        <v>389</v>
      </c>
      <c r="I51" s="102"/>
      <c r="J51" s="102"/>
      <c r="L51" t="s">
        <v>195</v>
      </c>
      <c r="M51" s="153"/>
      <c r="N51" s="92" t="s">
        <v>390</v>
      </c>
      <c r="O51" s="102"/>
      <c r="P51" s="102"/>
      <c r="Q51" s="375" t="s">
        <v>282</v>
      </c>
      <c r="R51" s="374"/>
      <c r="S51" s="374" t="s">
        <v>391</v>
      </c>
      <c r="U51" s="366" t="s">
        <v>272</v>
      </c>
      <c r="V51" s="371"/>
      <c r="W51" s="366" t="s">
        <v>392</v>
      </c>
      <c r="Y51" s="366" t="s">
        <v>272</v>
      </c>
      <c r="Z51" s="371"/>
      <c r="AA51" s="366" t="s">
        <v>393</v>
      </c>
      <c r="AG51" s="153" t="s">
        <v>394</v>
      </c>
      <c r="AH51" s="342" t="str" cm="1">
        <f t="array" ref="AH51">IF(AND(OR('DSCR (LP)'!S13='Feed(DSCR)'!C8),'DSCR (LP)'!S17='Feed(DSCR)'!D3,OR('DSCR (LP)'!S11='Feed(DSCR)'!B7:B11),OR('DSCR (LP)'!S21=J5:J7)),NA(),"")</f>
        <v/>
      </c>
      <c r="AI51" s="342" t="s">
        <v>395</v>
      </c>
      <c r="AJ51"/>
      <c r="AK51"/>
      <c r="AL51"/>
      <c r="AM51"/>
      <c r="AN51"/>
      <c r="AO51" s="104" t="s">
        <v>227</v>
      </c>
      <c r="AP51" s="104"/>
    </row>
    <row r="52" spans="1:42" x14ac:dyDescent="0.25">
      <c r="A52" s="359" t="s">
        <v>396</v>
      </c>
      <c r="B52" s="359"/>
      <c r="C52" s="380" t="s">
        <v>397</v>
      </c>
      <c r="D52" s="102"/>
      <c r="E52" s="492"/>
      <c r="F52" s="366" t="s">
        <v>398</v>
      </c>
      <c r="G52" s="366"/>
      <c r="H52" s="366" t="s">
        <v>399</v>
      </c>
      <c r="I52" s="102"/>
      <c r="J52" s="102"/>
      <c r="L52" t="s">
        <v>400</v>
      </c>
      <c r="M52" s="153" t="str" cm="1">
        <f t="array" ref="M52">IF(AND(OR('DSCR (LP)'!$S$12=$A$3:$A$6),'DSCR (LP)'!$S$24='Feed(DSCR)'!$K$10,OR('DSCR (LP)'!$S$20=$G$3:$G$6),OR('DSCR (LP)'!$S$11='Feed(DSCR)'!$B$9:$B$11),OR('DSCR (LP)'!$S$21='Feed(DSCR)'!$J$3)),NA(),"")</f>
        <v/>
      </c>
      <c r="N52" s="92" t="s">
        <v>401</v>
      </c>
      <c r="O52" s="102"/>
      <c r="P52" s="102"/>
      <c r="Q52" s="375" t="s">
        <v>310</v>
      </c>
      <c r="R52" s="374"/>
      <c r="S52" s="374" t="s">
        <v>402</v>
      </c>
      <c r="U52" s="366" t="s">
        <v>272</v>
      </c>
      <c r="V52" s="371"/>
      <c r="W52" s="366" t="s">
        <v>403</v>
      </c>
      <c r="Y52" s="366" t="s">
        <v>272</v>
      </c>
      <c r="Z52" s="371"/>
      <c r="AA52" s="366" t="s">
        <v>404</v>
      </c>
      <c r="AG52" s="153" t="s">
        <v>405</v>
      </c>
      <c r="AH52" s="342" t="str" cm="1">
        <f t="array" ref="AH52">IF(AND(OR('DSCR (LP)'!S13='Feed(DSCR)'!C8),'DSCR (LP)'!S17='Feed(DSCR)'!D3,OR('DSCR (LP)'!S11='Feed(DSCR)'!B6:B11),OR('DSCR (LP)'!S21='Feed(DSCR)'!J3:J4), OR('DSCR (LP)'!S24=K4:K5)),NA(),"")</f>
        <v/>
      </c>
      <c r="AI52" s="342" t="s">
        <v>406</v>
      </c>
      <c r="AJ52"/>
      <c r="AK52"/>
      <c r="AL52"/>
      <c r="AM52"/>
      <c r="AN52"/>
      <c r="AO52" s="104" t="s">
        <v>227</v>
      </c>
      <c r="AP52" s="104"/>
    </row>
    <row r="53" spans="1:42" x14ac:dyDescent="0.25">
      <c r="A53" s="378" t="s">
        <v>407</v>
      </c>
      <c r="B53" s="359"/>
      <c r="C53" s="380" t="s">
        <v>408</v>
      </c>
      <c r="D53" s="102"/>
      <c r="F53" s="366" t="s">
        <v>398</v>
      </c>
      <c r="G53" s="366"/>
      <c r="H53" s="366" t="s">
        <v>409</v>
      </c>
      <c r="K53"/>
      <c r="L53" t="s">
        <v>410</v>
      </c>
      <c r="M53" s="342" t="str" cm="1">
        <f t="array" ref="M53">IF(AND(OR('DSCR (LP)'!$S$12='Feed(DSCR)'!$A$7),'DSCR (LP)'!$S$24='Feed(DSCR)'!$K$10,OR('DSCR (LP)'!$S$20=$G$3:$G$6),OR('DSCR (LP)'!$S$11='Feed(DSCR)'!$B$9:$B$11),OR('DSCR (LP)'!$S$21='Feed(DSCR)'!$J$3)),NA(),"")</f>
        <v/>
      </c>
      <c r="N53" t="s">
        <v>411</v>
      </c>
      <c r="Q53" s="375" t="s">
        <v>310</v>
      </c>
      <c r="R53" s="374"/>
      <c r="S53" s="374" t="s">
        <v>412</v>
      </c>
      <c r="U53" s="366" t="s">
        <v>272</v>
      </c>
      <c r="V53" s="371"/>
      <c r="W53" s="366" t="s">
        <v>413</v>
      </c>
      <c r="Y53" s="366" t="s">
        <v>272</v>
      </c>
      <c r="Z53" s="371"/>
      <c r="AA53" s="366" t="s">
        <v>414</v>
      </c>
      <c r="AG53" s="153" t="s">
        <v>405</v>
      </c>
      <c r="AH53" s="342" t="str" cm="1">
        <f t="array" ref="AH53">IF(AND(OR('DSCR (LP)'!S13='Feed(DSCR)'!C8),'DSCR (LP)'!S17='Feed(DSCR)'!D3,OR('DSCR (LP)'!S11=B6:B11),OR('DSCR (LP)'!S21='Feed(DSCR)'!J6:J7), OR('DSCR (LP)'!S24=K4:K5)),NA(),"")</f>
        <v/>
      </c>
      <c r="AI53" s="342" t="s">
        <v>822</v>
      </c>
      <c r="AJ53"/>
      <c r="AK53"/>
      <c r="AL53"/>
      <c r="AM53"/>
      <c r="AN53"/>
      <c r="AO53" s="104" t="s">
        <v>227</v>
      </c>
      <c r="AP53" s="104"/>
    </row>
    <row r="54" spans="1:42" x14ac:dyDescent="0.25">
      <c r="A54" s="378" t="s">
        <v>417</v>
      </c>
      <c r="B54" s="359"/>
      <c r="C54" s="380" t="s">
        <v>418</v>
      </c>
      <c r="D54" s="102"/>
      <c r="F54" s="366" t="s">
        <v>419</v>
      </c>
      <c r="G54" s="366"/>
      <c r="H54" s="366" t="s">
        <v>420</v>
      </c>
      <c r="K54"/>
      <c r="L54" t="s">
        <v>421</v>
      </c>
      <c r="M54" s="342" t="str" cm="1">
        <f t="array" ref="M54">IF(AND(OR('DSCR (LP)'!$S$12='Feed(DSCR)'!$A$8),'DSCR (LP)'!$S$24='Feed(DSCR)'!$K$10,OR('DSCR (LP)'!$S$20=$G$3:$G$6),OR('DSCR (LP)'!$S$11='Feed(DSCR)'!$B$8:$B$11),OR('DSCR (LP)'!$S$21='Feed(DSCR)'!$J$3)),NA(),"")</f>
        <v/>
      </c>
      <c r="N54" t="s">
        <v>422</v>
      </c>
      <c r="Q54" s="375" t="s">
        <v>310</v>
      </c>
      <c r="R54" s="374"/>
      <c r="S54" s="374" t="s">
        <v>423</v>
      </c>
      <c r="U54" s="366" t="s">
        <v>272</v>
      </c>
      <c r="V54" s="371"/>
      <c r="W54" s="366" t="s">
        <v>424</v>
      </c>
      <c r="Y54" s="366" t="s">
        <v>272</v>
      </c>
      <c r="Z54" s="371"/>
      <c r="AA54" s="366" t="s">
        <v>425</v>
      </c>
      <c r="AG54" s="153" t="s">
        <v>405</v>
      </c>
      <c r="AH54" s="342" t="str" cm="1">
        <f t="array" ref="AH54">IF(AND(OR('DSCR (LP)'!S13=C8:C10),'DSCR (LP)'!S17='Feed(DSCR)'!D3,OR('DSCR (LP)'!S11=B8:B11),OR('DSCR (LP)'!S21='Feed(DSCR)'!J3:J4), OR('DSCR (LP)'!S24=K6:K8)),NA(),"")</f>
        <v/>
      </c>
      <c r="AI54" s="342" t="s">
        <v>821</v>
      </c>
      <c r="AJ54"/>
      <c r="AK54"/>
      <c r="AL54"/>
      <c r="AM54"/>
      <c r="AN54"/>
      <c r="AO54" s="104" t="s">
        <v>227</v>
      </c>
      <c r="AP54" s="104"/>
    </row>
    <row r="55" spans="1:42" x14ac:dyDescent="0.25">
      <c r="A55" s="378" t="s">
        <v>426</v>
      </c>
      <c r="B55" s="377"/>
      <c r="C55" s="366" t="s">
        <v>427</v>
      </c>
      <c r="D55" s="102"/>
      <c r="F55" s="366" t="s">
        <v>419</v>
      </c>
      <c r="G55" s="366"/>
      <c r="H55" s="366" t="s">
        <v>428</v>
      </c>
      <c r="K55"/>
      <c r="L55" t="s">
        <v>429</v>
      </c>
      <c r="M55" s="342" t="str" cm="1">
        <f t="array" ref="M55">IF(AND(OR('DSCR (LP)'!$S$12='Feed(DSCR)'!$A$3:$A$6),'DSCR (LP)'!$S$24='Feed(DSCR)'!$K$10,OR('DSCR (LP)'!$S$20=$G$7:$G$12),OR('DSCR (LP)'!$S$11='Feed(DSCR)'!$B$8:$B$11),OR('DSCR (LP)'!$S$21='Feed(DSCR)'!$J$3)),NA(),"")</f>
        <v/>
      </c>
      <c r="N55" t="s">
        <v>430</v>
      </c>
      <c r="Q55" s="375" t="s">
        <v>310</v>
      </c>
      <c r="R55" s="374"/>
      <c r="S55" s="375" t="s">
        <v>431</v>
      </c>
      <c r="U55" s="366" t="s">
        <v>272</v>
      </c>
      <c r="V55" s="371"/>
      <c r="W55" s="366" t="s">
        <v>432</v>
      </c>
      <c r="Y55" s="366" t="s">
        <v>272</v>
      </c>
      <c r="Z55" s="371"/>
      <c r="AA55" s="366" t="s">
        <v>433</v>
      </c>
      <c r="AG55" s="153" t="s">
        <v>405</v>
      </c>
      <c r="AH55" s="342" t="str" cm="1">
        <f t="array" ref="AH55">IF(AND(OR('DSCR (LP)'!S13=C8:C10),'DSCR (LP)'!S17='Feed(DSCR)'!D3,OR('DSCR (LP)'!S11=B6:B11),OR('DSCR (LP)'!S21=J5:J7), OR('DSCR (LP)'!S24=K6:K8)),NA(),"")</f>
        <v/>
      </c>
      <c r="AI55" s="342" t="s">
        <v>822</v>
      </c>
      <c r="AJ55"/>
      <c r="AK55"/>
      <c r="AL55"/>
      <c r="AM55"/>
      <c r="AN55"/>
      <c r="AO55" s="104" t="s">
        <v>227</v>
      </c>
      <c r="AP55" s="104"/>
    </row>
    <row r="56" spans="1:42" x14ac:dyDescent="0.25">
      <c r="A56" s="378" t="s">
        <v>434</v>
      </c>
      <c r="B56" s="377"/>
      <c r="C56" s="366" t="s">
        <v>435</v>
      </c>
      <c r="D56" s="102"/>
      <c r="F56" s="366" t="s">
        <v>398</v>
      </c>
      <c r="G56" s="366"/>
      <c r="H56" s="366" t="s">
        <v>436</v>
      </c>
      <c r="K56"/>
      <c r="L56" t="s">
        <v>437</v>
      </c>
      <c r="M56" s="342" t="str" cm="1">
        <f t="array" ref="M56">IF(AND(OR('DSCR (LP)'!$S$12='Feed(DSCR)'!$A$7),'DSCR (LP)'!$S$24='Feed(DSCR)'!$K$10,OR('DSCR (LP)'!$S$20=$G$7:$G$12),OR('DSCR (LP)'!$S$11='Feed(DSCR)'!$B$8:$B$11),OR('DSCR (LP)'!$S$21='Feed(DSCR)'!$J$3)),NA(),"")</f>
        <v/>
      </c>
      <c r="N56" t="s">
        <v>438</v>
      </c>
      <c r="Q56" s="375" t="s">
        <v>310</v>
      </c>
      <c r="R56" s="373"/>
      <c r="S56" s="375" t="s">
        <v>439</v>
      </c>
      <c r="U56" s="366" t="s">
        <v>272</v>
      </c>
      <c r="V56" s="371"/>
      <c r="W56" s="366" t="s">
        <v>440</v>
      </c>
      <c r="Y56" s="366" t="s">
        <v>272</v>
      </c>
      <c r="Z56" s="371"/>
      <c r="AA56" s="366" t="s">
        <v>441</v>
      </c>
      <c r="AJ56"/>
      <c r="AK56"/>
      <c r="AL56"/>
      <c r="AM56"/>
      <c r="AN56"/>
      <c r="AO56" s="104" t="s">
        <v>227</v>
      </c>
      <c r="AP56" s="104"/>
    </row>
    <row r="57" spans="1:42" x14ac:dyDescent="0.25">
      <c r="A57" s="378" t="s">
        <v>442</v>
      </c>
      <c r="B57" s="377"/>
      <c r="C57" s="366" t="s">
        <v>443</v>
      </c>
      <c r="D57" s="102"/>
      <c r="F57" s="366" t="s">
        <v>398</v>
      </c>
      <c r="G57" s="366"/>
      <c r="H57" s="366" t="s">
        <v>444</v>
      </c>
      <c r="K57"/>
      <c r="L57" t="s">
        <v>445</v>
      </c>
      <c r="M57" s="342" t="str" cm="1">
        <f t="array" ref="M57">IF(AND(OR('DSCR (LP)'!$S$12='Feed(DSCR)'!$A$8),'DSCR (LP)'!$S$24='Feed(DSCR)'!$K$10,OR('DSCR (LP)'!$S$20=$G$7),OR('DSCR (LP)'!$S$11='Feed(DSCR)'!$B$7:$B$11),OR('DSCR (LP)'!$S$21='Feed(DSCR)'!$J$3)),NA(),"")</f>
        <v/>
      </c>
      <c r="N57" t="s">
        <v>446</v>
      </c>
      <c r="Q57" s="375" t="s">
        <v>310</v>
      </c>
      <c r="R57" s="374"/>
      <c r="S57" s="375" t="s">
        <v>447</v>
      </c>
      <c r="U57" s="366" t="s">
        <v>272</v>
      </c>
      <c r="V57" s="371"/>
      <c r="W57" s="366" t="s">
        <v>448</v>
      </c>
      <c r="Y57" s="366" t="s">
        <v>272</v>
      </c>
      <c r="Z57" s="371"/>
      <c r="AA57" s="366" t="s">
        <v>449</v>
      </c>
      <c r="AG57" s="607"/>
      <c r="AH57" s="608"/>
      <c r="AI57" s="608"/>
      <c r="AJ57"/>
      <c r="AK57"/>
      <c r="AL57"/>
      <c r="AM57"/>
      <c r="AN57"/>
      <c r="AO57" s="104" t="s">
        <v>227</v>
      </c>
      <c r="AP57" s="104"/>
    </row>
    <row r="58" spans="1:42" x14ac:dyDescent="0.25">
      <c r="A58" s="378" t="s">
        <v>452</v>
      </c>
      <c r="B58" s="377"/>
      <c r="C58" s="366" t="s">
        <v>453</v>
      </c>
      <c r="D58" s="102"/>
      <c r="F58" s="366" t="s">
        <v>419</v>
      </c>
      <c r="G58" s="366"/>
      <c r="H58" s="366" t="s">
        <v>454</v>
      </c>
      <c r="K58"/>
      <c r="L58" t="s">
        <v>455</v>
      </c>
      <c r="M58" s="342" t="str" cm="1">
        <f t="array" ref="M58">IF(AND(OR('DSCR (LP)'!$S$12='Feed(DSCR)'!$A$3:$A$6),'DSCR (LP)'!$S$24='Feed(DSCR)'!$K$10,OR('DSCR (LP)'!$S$20=$G$3:$G$6),OR('DSCR (LP)'!$S$11='Feed(DSCR)'!$B$7:$B$11),OR('DSCR (LP)'!$S$21='Feed(DSCR)'!$J$6:$J$7)),NA(),"")</f>
        <v/>
      </c>
      <c r="N58" t="s">
        <v>456</v>
      </c>
      <c r="O58"/>
      <c r="P58"/>
      <c r="Q58" s="375" t="s">
        <v>310</v>
      </c>
      <c r="R58" s="374"/>
      <c r="S58" s="375" t="s">
        <v>457</v>
      </c>
      <c r="U58" s="366" t="s">
        <v>272</v>
      </c>
      <c r="V58" s="366"/>
      <c r="W58" s="366" t="s">
        <v>458</v>
      </c>
      <c r="Y58" s="366" t="s">
        <v>272</v>
      </c>
      <c r="Z58" s="366"/>
      <c r="AA58" s="366" t="s">
        <v>459</v>
      </c>
      <c r="AG58" s="369"/>
      <c r="AH58" s="369"/>
      <c r="AI58" s="369"/>
      <c r="AJ58"/>
      <c r="AK58"/>
      <c r="AL58"/>
      <c r="AM58"/>
      <c r="AN58"/>
      <c r="AO58" s="104" t="s">
        <v>227</v>
      </c>
      <c r="AP58" s="104"/>
    </row>
    <row r="59" spans="1:42" x14ac:dyDescent="0.25">
      <c r="A59" s="382" t="s">
        <v>176</v>
      </c>
      <c r="B59" s="193" t="str" cm="1">
        <f t="array" ref="B59">IF(AND(OR('DSCR (LP)'!S11=B8:B11),OR('DSCR (LP)'!S12=A11:A12),'DSCR (LP)'!S17=D3),NA(),"")</f>
        <v/>
      </c>
      <c r="C59" s="381" t="s">
        <v>462</v>
      </c>
      <c r="F59" s="366" t="s">
        <v>419</v>
      </c>
      <c r="G59" s="366"/>
      <c r="H59" s="366" t="s">
        <v>463</v>
      </c>
      <c r="K59"/>
      <c r="L59" t="s">
        <v>464</v>
      </c>
      <c r="M59" s="342" t="str" cm="1">
        <f t="array" ref="M59">IF(AND(OR('DSCR (LP)'!$S$12='Feed(DSCR)'!$A$7),'DSCR (LP)'!$S$24='Feed(DSCR)'!$K$10,OR('DSCR (LP)'!$S$20=$G$3:$G$6),OR('DSCR (LP)'!$S$11='Feed(DSCR)'!$B$7:$B$11),OR('DSCR (LP)'!$S$21='Feed(DSCR)'!$J$6:$J$7)),NA(),"")</f>
        <v/>
      </c>
      <c r="N59" t="s">
        <v>465</v>
      </c>
      <c r="Q59" s="375" t="s">
        <v>310</v>
      </c>
      <c r="R59" s="374"/>
      <c r="S59" s="375" t="s">
        <v>466</v>
      </c>
      <c r="U59" s="366" t="s">
        <v>272</v>
      </c>
      <c r="V59" s="366"/>
      <c r="W59" s="366" t="s">
        <v>467</v>
      </c>
      <c r="Y59" s="366" t="s">
        <v>272</v>
      </c>
      <c r="Z59" s="366"/>
      <c r="AA59" s="366" t="s">
        <v>468</v>
      </c>
      <c r="AG59" s="369"/>
      <c r="AH59" s="369"/>
      <c r="AI59" s="369"/>
      <c r="AJ59"/>
      <c r="AK59"/>
      <c r="AL59"/>
      <c r="AM59"/>
      <c r="AN59"/>
      <c r="AO59" s="104" t="s">
        <v>227</v>
      </c>
      <c r="AP59" s="104"/>
    </row>
    <row r="60" spans="1:42" x14ac:dyDescent="0.25">
      <c r="A60" s="100" t="s">
        <v>176</v>
      </c>
      <c r="B60" s="193" t="str" cm="1">
        <f t="array" ref="B60">IF(AND(OR('DSCR (LP)'!S11='Feed(DSCR)'!B10:B11),'DSCR (LP)'!S17='Feed(DSCR)'!D3,OR('DSCR (LP)'!S24='Feed(DSCR)'!K4:K6)),NA(),"")</f>
        <v/>
      </c>
      <c r="C60" s="153" t="s">
        <v>471</v>
      </c>
      <c r="F60" s="366" t="s">
        <v>398</v>
      </c>
      <c r="G60" s="366"/>
      <c r="H60" s="366" t="s">
        <v>472</v>
      </c>
      <c r="K60"/>
      <c r="L60" t="s">
        <v>473</v>
      </c>
      <c r="M60" s="342" t="str" cm="1">
        <f t="array" ref="M60">IF(AND(OR('DSCR (LP)'!$S$12='Feed(DSCR)'!$A$8),'DSCR (LP)'!$S$24='Feed(DSCR)'!$K$10,OR('DSCR (LP)'!$S$20=$G$3:$G$6),OR('DSCR (LP)'!$S$11='Feed(DSCR)'!$B$6:$B$11),OR('DSCR (LP)'!$S$21='Feed(DSCR)'!$J$6:$J$7)),NA(),"")</f>
        <v/>
      </c>
      <c r="N60" t="s">
        <v>474</v>
      </c>
      <c r="Q60" s="375" t="s">
        <v>310</v>
      </c>
      <c r="R60" s="374"/>
      <c r="S60" s="375" t="s">
        <v>475</v>
      </c>
      <c r="U60" s="366" t="s">
        <v>272</v>
      </c>
      <c r="V60" s="366"/>
      <c r="W60" s="366" t="s">
        <v>476</v>
      </c>
      <c r="Y60" s="366" t="s">
        <v>272</v>
      </c>
      <c r="Z60" s="366"/>
      <c r="AA60" s="366" t="s">
        <v>477</v>
      </c>
      <c r="AG60" s="369"/>
      <c r="AH60" s="369"/>
      <c r="AI60" s="369"/>
      <c r="AJ60"/>
      <c r="AK60"/>
      <c r="AL60"/>
      <c r="AM60"/>
      <c r="AN60"/>
      <c r="AO60" s="104" t="s">
        <v>227</v>
      </c>
      <c r="AP60" s="104"/>
    </row>
    <row r="61" spans="1:42" x14ac:dyDescent="0.25">
      <c r="A61" s="100" t="s">
        <v>176</v>
      </c>
      <c r="B61" s="193" t="str" cm="1">
        <f t="array" ref="B61">IF(AND(OR('DSCR (LP)'!S12='Feed(DSCR)'!A7:A12),'DSCR (LP)'!S17='Feed(DSCR)'!D3,OR('DSCR (LP)'!S11='Feed(DSCR)'!B9:B11),OR('DSCR (LP)'!U21='Feed(DSCR)'!J6:J7)),NA(),"")</f>
        <v/>
      </c>
      <c r="C61" s="153" t="s">
        <v>479</v>
      </c>
      <c r="F61" s="366" t="s">
        <v>419</v>
      </c>
      <c r="G61" s="366"/>
      <c r="H61" s="366" t="s">
        <v>480</v>
      </c>
      <c r="I61"/>
      <c r="J61"/>
      <c r="K61"/>
      <c r="L61" t="s">
        <v>481</v>
      </c>
      <c r="M61" s="342" t="str" cm="1">
        <f t="array" ref="M61">IF(AND(OR('DSCR (LP)'!$S$12='Feed(DSCR)'!$A$3:$A$6),'DSCR (LP)'!$S$24='Feed(DSCR)'!$K$10,OR('DSCR (LP)'!$S$20=$G$7),OR('DSCR (LP)'!$S$11='Feed(DSCR)'!$B$7:$B$11),OR('DSCR (LP)'!$S$21='Feed(DSCR)'!$J$6:$J$7)),NA(),"")</f>
        <v/>
      </c>
      <c r="N61" t="s">
        <v>482</v>
      </c>
      <c r="Q61" s="375" t="s">
        <v>310</v>
      </c>
      <c r="R61" s="374"/>
      <c r="S61" s="375" t="s">
        <v>483</v>
      </c>
      <c r="U61" s="366" t="s">
        <v>272</v>
      </c>
      <c r="V61" s="366"/>
      <c r="W61" s="366" t="s">
        <v>484</v>
      </c>
      <c r="Y61" s="366" t="s">
        <v>272</v>
      </c>
      <c r="Z61" s="366"/>
      <c r="AA61" s="366" t="s">
        <v>485</v>
      </c>
      <c r="AG61" s="369"/>
      <c r="AH61" s="369"/>
      <c r="AI61" s="369"/>
      <c r="AJ61"/>
      <c r="AK61"/>
      <c r="AL61"/>
      <c r="AM61"/>
      <c r="AN61"/>
      <c r="AO61" s="104" t="s">
        <v>227</v>
      </c>
      <c r="AP61" s="104"/>
    </row>
    <row r="62" spans="1:42" x14ac:dyDescent="0.25">
      <c r="A62" s="377" t="s">
        <v>488</v>
      </c>
      <c r="B62" s="377"/>
      <c r="C62" s="366" t="s">
        <v>489</v>
      </c>
      <c r="F62" s="366" t="s">
        <v>419</v>
      </c>
      <c r="G62" s="366"/>
      <c r="H62" s="366" t="s">
        <v>490</v>
      </c>
      <c r="I62"/>
      <c r="J62"/>
      <c r="K62"/>
      <c r="L62" t="s">
        <v>491</v>
      </c>
      <c r="M62" s="153" t="str" cm="1">
        <f t="array" ref="M62">IF(AND(OR('DSCR (LP)'!$S$12='Feed(DSCR)'!$A$7),'DSCR (LP)'!$S$24='Feed(DSCR)'!$K$10,OR('DSCR (LP)'!$S$20=$G$7),OR('DSCR (LP)'!$S$11='Feed(DSCR)'!$B$7:$B$11),OR('DSCR (LP)'!$S$21='Feed(DSCR)'!$J$6:$J$7)),NA(),"")</f>
        <v/>
      </c>
      <c r="N62" s="92" t="s">
        <v>492</v>
      </c>
      <c r="Q62" s="375" t="s">
        <v>310</v>
      </c>
      <c r="R62" s="374"/>
      <c r="S62" s="375" t="s">
        <v>493</v>
      </c>
      <c r="U62" s="366" t="s">
        <v>272</v>
      </c>
      <c r="V62" s="371"/>
      <c r="W62" s="366" t="s">
        <v>494</v>
      </c>
      <c r="Y62" s="366" t="s">
        <v>272</v>
      </c>
      <c r="Z62" s="371"/>
      <c r="AA62" s="366" t="s">
        <v>495</v>
      </c>
      <c r="AG62" s="369"/>
      <c r="AH62" s="369"/>
      <c r="AI62" s="369"/>
      <c r="AJ62"/>
      <c r="AK62"/>
      <c r="AL62"/>
      <c r="AM62"/>
      <c r="AN62"/>
      <c r="AO62" s="104" t="s">
        <v>227</v>
      </c>
      <c r="AP62" s="104"/>
    </row>
    <row r="63" spans="1:42" x14ac:dyDescent="0.25">
      <c r="A63" s="377" t="s">
        <v>496</v>
      </c>
      <c r="B63" s="377"/>
      <c r="C63" s="366" t="s">
        <v>497</v>
      </c>
      <c r="F63" s="366" t="s">
        <v>398</v>
      </c>
      <c r="G63" s="366"/>
      <c r="H63" s="366" t="s">
        <v>498</v>
      </c>
      <c r="I63"/>
      <c r="J63"/>
      <c r="K63"/>
      <c r="L63" t="s">
        <v>499</v>
      </c>
      <c r="M63" s="153" t="str" cm="1">
        <f t="array" ref="M63">IF(AND(OR('DSCR (LP)'!$S$12='Feed(DSCR)'!$A$8),'DSCR (LP)'!$S$24='Feed(DSCR)'!$K$10,OR('DSCR (LP)'!$S$20=$G$7),OR('DSCR (LP)'!$S$11='Feed(DSCR)'!$B$6:$B$11),OR('DSCR (LP)'!$S$21='Feed(DSCR)'!$J$6:$J$7)),NA(),"")</f>
        <v/>
      </c>
      <c r="N63" s="92" t="s">
        <v>500</v>
      </c>
      <c r="Q63" s="375" t="s">
        <v>310</v>
      </c>
      <c r="R63" s="374"/>
      <c r="S63" s="375" t="s">
        <v>501</v>
      </c>
      <c r="U63" s="366" t="s">
        <v>272</v>
      </c>
      <c r="V63" s="371"/>
      <c r="W63" s="366" t="s">
        <v>502</v>
      </c>
      <c r="Y63" s="366" t="s">
        <v>272</v>
      </c>
      <c r="Z63" s="371"/>
      <c r="AA63" s="366" t="s">
        <v>503</v>
      </c>
      <c r="AG63"/>
      <c r="AH63"/>
      <c r="AI63"/>
      <c r="AJ63"/>
      <c r="AK63"/>
      <c r="AL63"/>
      <c r="AM63"/>
      <c r="AN63"/>
      <c r="AO63" s="104" t="s">
        <v>227</v>
      </c>
      <c r="AP63" s="104"/>
    </row>
    <row r="64" spans="1:42" x14ac:dyDescent="0.25">
      <c r="A64" s="377" t="s">
        <v>504</v>
      </c>
      <c r="B64" s="377"/>
      <c r="C64" s="366" t="s">
        <v>505</v>
      </c>
      <c r="F64" s="366" t="s">
        <v>419</v>
      </c>
      <c r="G64" s="366"/>
      <c r="H64" s="366" t="s">
        <v>506</v>
      </c>
      <c r="I64"/>
      <c r="J64"/>
      <c r="K64"/>
      <c r="L64" t="s">
        <v>507</v>
      </c>
      <c r="M64" s="153" t="str" cm="1">
        <f t="array" ref="M64">IF(AND(OR('DSCR (LP)'!$S$12='Feed(DSCR)'!$A$3:$A$6),'DSCR (LP)'!$S$24='Feed(DSCR)'!$K$10,OR('DSCR (LP)'!$S$20=$G$3:$G$6),OR('DSCR (LP)'!$S$11='Feed(DSCR)'!$B$9:$B$11),OR('DSCR (LP)'!$S$21='Feed(DSCR)'!$J$4)),NA(),"")</f>
        <v/>
      </c>
      <c r="N64" s="92" t="s">
        <v>508</v>
      </c>
      <c r="Q64" s="375" t="s">
        <v>310</v>
      </c>
      <c r="R64" s="374"/>
      <c r="S64" s="375" t="s">
        <v>509</v>
      </c>
      <c r="U64" s="366" t="s">
        <v>272</v>
      </c>
      <c r="V64" s="371"/>
      <c r="W64" s="366" t="s">
        <v>510</v>
      </c>
      <c r="Y64" s="366" t="s">
        <v>272</v>
      </c>
      <c r="Z64" s="371"/>
      <c r="AA64" s="366" t="s">
        <v>511</v>
      </c>
      <c r="AG64"/>
      <c r="AH64"/>
      <c r="AI64"/>
      <c r="AJ64"/>
      <c r="AK64"/>
      <c r="AL64"/>
      <c r="AM64"/>
      <c r="AN64"/>
      <c r="AO64" s="104" t="s">
        <v>227</v>
      </c>
      <c r="AP64" s="104"/>
    </row>
    <row r="65" spans="1:42" ht="15.75" thickBot="1" x14ac:dyDescent="0.3">
      <c r="A65" s="377" t="s">
        <v>512</v>
      </c>
      <c r="B65" s="377"/>
      <c r="C65" s="366" t="s">
        <v>513</v>
      </c>
      <c r="F65" s="366" t="s">
        <v>514</v>
      </c>
      <c r="G65" s="366"/>
      <c r="H65" s="366" t="s">
        <v>515</v>
      </c>
      <c r="I65"/>
      <c r="J65"/>
      <c r="K65"/>
      <c r="L65" t="s">
        <v>516</v>
      </c>
      <c r="M65" s="153" t="str" cm="1">
        <f t="array" ref="M65">IF(AND(OR('DSCR (LP)'!$S$12='Feed(DSCR)'!$A$7),'DSCR (LP)'!$S$24='Feed(DSCR)'!$K$10,OR('DSCR (LP)'!$S$20=$G$3:$G$6),OR('DSCR (LP)'!$S$11=$B$9:$B$11),OR('DSCR (LP)'!$S$21='Feed(DSCR)'!$J$4)),NA(),"")</f>
        <v/>
      </c>
      <c r="N65" s="92" t="s">
        <v>517</v>
      </c>
      <c r="Q65" s="375" t="s">
        <v>310</v>
      </c>
      <c r="R65" s="374"/>
      <c r="S65" s="375" t="s">
        <v>518</v>
      </c>
      <c r="U65" s="366" t="s">
        <v>272</v>
      </c>
      <c r="V65" s="371"/>
      <c r="W65" s="366" t="s">
        <v>519</v>
      </c>
      <c r="Y65" s="366" t="s">
        <v>272</v>
      </c>
      <c r="Z65" s="371"/>
      <c r="AA65" s="366" t="s">
        <v>520</v>
      </c>
      <c r="AG65" s="127" t="s">
        <v>521</v>
      </c>
      <c r="AH65" s="609"/>
      <c r="AI65" s="609"/>
      <c r="AJ65"/>
      <c r="AK65"/>
      <c r="AL65"/>
      <c r="AM65"/>
      <c r="AN65"/>
      <c r="AO65" s="104"/>
      <c r="AP65" s="104"/>
    </row>
    <row r="66" spans="1:42" x14ac:dyDescent="0.25">
      <c r="A66" s="194" t="s">
        <v>522</v>
      </c>
      <c r="B66" s="194" t="str" cm="1">
        <f t="array" ref="B66">IF(AND(OR('DSCR (LP)'!S29=T5),OR('DSCR (LP)'!S27=H3),OR('DSCR (LP)'!S23=L5:L6)),NA(),"")</f>
        <v/>
      </c>
      <c r="C66" s="153"/>
      <c r="F66" s="366" t="s">
        <v>514</v>
      </c>
      <c r="G66" s="366"/>
      <c r="H66" s="366" t="s">
        <v>523</v>
      </c>
      <c r="I66"/>
      <c r="J66"/>
      <c r="K66"/>
      <c r="L66" s="92" t="s">
        <v>524</v>
      </c>
      <c r="M66" s="153" t="str" cm="1">
        <f t="array" ref="M66">IF(AND(OR('DSCR (LP)'!$S$12='Feed(DSCR)'!$A$8),'DSCR (LP)'!$S$24='Feed(DSCR)'!$K$10,OR('DSCR (LP)'!$S$20=$G$7:$G$12),OR('DSCR (LP)'!$S$11='Feed(DSCR)'!$B$7:$B$11),OR('DSCR (LP)'!$S$21='Feed(DSCR)'!$J$4)),NA(),"")</f>
        <v/>
      </c>
      <c r="N66" s="92" t="s">
        <v>525</v>
      </c>
      <c r="Q66" s="375" t="s">
        <v>310</v>
      </c>
      <c r="R66" s="374"/>
      <c r="S66" s="375" t="s">
        <v>526</v>
      </c>
      <c r="U66" s="366" t="s">
        <v>272</v>
      </c>
      <c r="V66" s="371"/>
      <c r="W66" s="366" t="s">
        <v>527</v>
      </c>
      <c r="Y66" s="366" t="s">
        <v>272</v>
      </c>
      <c r="Z66" s="371"/>
      <c r="AA66" s="366" t="s">
        <v>528</v>
      </c>
      <c r="AG66" s="342" t="s">
        <v>529</v>
      </c>
      <c r="AH66" s="342" t="str">
        <f>IF(AND(
   ISNUMBER(MATCH('DSCR (LP)'!$S$12, $A$8:$A$12, 0)),
   'DSCR (LP)'!$S$13 = $C$9
), NA(), "")</f>
        <v/>
      </c>
      <c r="AI66" s="342" t="s">
        <v>530</v>
      </c>
      <c r="AJ66"/>
      <c r="AK66"/>
      <c r="AL66"/>
      <c r="AM66"/>
      <c r="AN66"/>
      <c r="AO66" s="104"/>
      <c r="AP66" s="104"/>
    </row>
    <row r="67" spans="1:42" x14ac:dyDescent="0.25">
      <c r="A67" s="128" t="s">
        <v>531</v>
      </c>
      <c r="B67" s="579">
        <f>SUM(B39:B66)+SUM(G38:G76)+SUM(M38:M77)+SUM(R38:R82)+SUM(AH38:AH112)+SUM(Z37:Z125)+SUM(V37:V92)+SUM(AL38:AL45)</f>
        <v>0</v>
      </c>
      <c r="F67" s="366" t="s">
        <v>514</v>
      </c>
      <c r="G67" s="366"/>
      <c r="H67" s="366" t="s">
        <v>532</v>
      </c>
      <c r="I67"/>
      <c r="J67"/>
      <c r="K67"/>
      <c r="L67" s="92" t="s">
        <v>533</v>
      </c>
      <c r="M67" s="153" t="str" cm="1">
        <f t="array" ref="M67">IF(AND(OR('DSCR (LP)'!$S$12='Feed(DSCR)'!$A$3:$A$6),'DSCR (LP)'!$S$24='Feed(DSCR)'!$K$10,OR('DSCR (LP)'!$S$20=$G$7:$G$12),OR('DSCR (LP)'!$S$11='Feed(DSCR)'!$B$8:$B$11),OR('DSCR (LP)'!$S$21='Feed(DSCR)'!$J$4)),NA(),"")</f>
        <v/>
      </c>
      <c r="N67" s="92" t="s">
        <v>534</v>
      </c>
      <c r="Q67" s="375" t="s">
        <v>310</v>
      </c>
      <c r="R67" s="374"/>
      <c r="S67" s="375" t="s">
        <v>535</v>
      </c>
      <c r="U67" s="366" t="s">
        <v>272</v>
      </c>
      <c r="V67" s="371"/>
      <c r="W67" s="366" t="s">
        <v>536</v>
      </c>
      <c r="Y67" s="366" t="s">
        <v>272</v>
      </c>
      <c r="Z67" s="371"/>
      <c r="AA67" s="366" t="s">
        <v>537</v>
      </c>
      <c r="AG67" s="153" t="s">
        <v>538</v>
      </c>
      <c r="AH67" s="154" t="str">
        <f>IF(AND(
   ISNUMBER(MATCH('DSCR (LP)'!$S$11, $B$7:$B$11, 0)),
   'DSCR (LP)'!$S$12 = $A$7,
   'DSCR (LP)'!$S$21 = $J$3,
   'DSCR (LP)'!$S$20 = $G$5,
   'DSCR (LP)'!$S$13 = $C$9
), NA(), "")</f>
        <v/>
      </c>
      <c r="AI67" s="153" t="s">
        <v>539</v>
      </c>
      <c r="AJ67" s="104"/>
      <c r="AK67" s="104"/>
      <c r="AL67" s="104"/>
      <c r="AM67" s="104"/>
      <c r="AN67" s="104"/>
      <c r="AO67" s="104"/>
      <c r="AP67" s="104"/>
    </row>
    <row r="68" spans="1:42" x14ac:dyDescent="0.25">
      <c r="A68" s="123" t="s">
        <v>49</v>
      </c>
      <c r="B68" s="123"/>
      <c r="C68"/>
      <c r="F68" s="366" t="s">
        <v>514</v>
      </c>
      <c r="G68" s="366"/>
      <c r="H68" s="366" t="s">
        <v>540</v>
      </c>
      <c r="I68"/>
      <c r="J68"/>
      <c r="K68"/>
      <c r="L68" s="92" t="s">
        <v>541</v>
      </c>
      <c r="M68" s="153" t="str" cm="1">
        <f t="array" ref="M68">IF(AND(OR('DSCR (LP)'!$S$12='Feed(DSCR)'!$A$7),'DSCR (LP)'!$S$24='Feed(DSCR)'!$K$10,OR('DSCR (LP)'!$S$20=$G$7:$G$12),OR('DSCR (LP)'!$S$11='Feed(DSCR)'!$B$7:$B$11),OR('DSCR (LP)'!$S$21='Feed(DSCR)'!$J$4)),NA(),"")</f>
        <v/>
      </c>
      <c r="N68" s="92" t="s">
        <v>542</v>
      </c>
      <c r="Q68" s="375" t="s">
        <v>310</v>
      </c>
      <c r="R68" s="374"/>
      <c r="S68" s="375" t="s">
        <v>543</v>
      </c>
      <c r="U68" s="366" t="s">
        <v>272</v>
      </c>
      <c r="V68" s="371"/>
      <c r="W68" s="366" t="s">
        <v>544</v>
      </c>
      <c r="Y68" s="366" t="s">
        <v>272</v>
      </c>
      <c r="Z68" s="371"/>
      <c r="AA68" s="366" t="s">
        <v>545</v>
      </c>
      <c r="AG68" s="153" t="s">
        <v>538</v>
      </c>
      <c r="AH68" s="154" t="str">
        <f>IF(AND(
   ISNUMBER(MATCH('DSCR (LP)'!$S$11, $B$7:$B$11, 0)),
   'DSCR (LP)'!$S$12 = $A$7,
   'DSCR (LP)'!$S$21 = $J$4,
   'DSCR (LP)'!$S$20 = $G$5,
   'DSCR (LP)'!$S$13 = $C$9
), NA(), "")</f>
        <v/>
      </c>
      <c r="AI68" s="153" t="s">
        <v>546</v>
      </c>
      <c r="AJ68" s="104"/>
      <c r="AK68" s="104"/>
      <c r="AL68" s="104"/>
      <c r="AM68" s="104"/>
      <c r="AN68" s="104"/>
      <c r="AO68" s="104"/>
      <c r="AP68" s="104"/>
    </row>
    <row r="69" spans="1:42" x14ac:dyDescent="0.25">
      <c r="A69" s="359" t="e" cm="1">
        <f t="array" ref="A69">IF(AND(#REF!='Feed(DSCR)'!J3,OR(#REF!='Feed(DSCR)'!B10:B11),#REF!='Feed(DSCR)'!C4),TRUE(),FALSE)</f>
        <v>#REF!</v>
      </c>
      <c r="B69" s="370" t="s">
        <v>547</v>
      </c>
      <c r="C69"/>
      <c r="F69" s="366" t="s">
        <v>514</v>
      </c>
      <c r="G69" s="366"/>
      <c r="H69" s="366" t="s">
        <v>548</v>
      </c>
      <c r="I69"/>
      <c r="J69"/>
      <c r="K69"/>
      <c r="L69" s="92" t="s">
        <v>549</v>
      </c>
      <c r="M69" s="153" t="str" cm="1">
        <f t="array" ref="M69">IF(AND(OR('DSCR (LP)'!$S$12='Feed(DSCR)'!$A$8),'DSCR (LP)'!$S$24='Feed(DSCR)'!$K$10,OR('DSCR (LP)'!$S$20=$G$7),OR('DSCR (LP)'!$S$11='Feed(DSCR)'!$B$7:$B$11),OR('DSCR (LP)'!$S$21='Feed(DSCR)'!$J$4)),NA(),"")</f>
        <v/>
      </c>
      <c r="N69" s="92" t="s">
        <v>550</v>
      </c>
      <c r="Q69" s="375" t="s">
        <v>310</v>
      </c>
      <c r="R69" s="374"/>
      <c r="S69" s="375" t="s">
        <v>551</v>
      </c>
      <c r="U69" s="366" t="s">
        <v>272</v>
      </c>
      <c r="V69" s="371"/>
      <c r="W69" s="366" t="s">
        <v>552</v>
      </c>
      <c r="Y69" s="366" t="s">
        <v>272</v>
      </c>
      <c r="Z69" s="371"/>
      <c r="AA69" s="366" t="s">
        <v>553</v>
      </c>
      <c r="AG69" s="153" t="s">
        <v>538</v>
      </c>
      <c r="AH69" s="154" t="str">
        <f>IF(AND(
   ISNUMBER(MATCH('DSCR (LP)'!$S$11, $B$6:$B$11, 0)),
   ISNUMBER(MATCH('DSCR (LP)'!$S$22, $J$6:$J$7, 0)),
   'DSCR (LP)'!$S$12 = $A$7,
   'DSCR (LP)'!$S$20 = $G$5,
   'DSCR (LP)'!$S$13 = $C$9
), NA(), "")</f>
        <v/>
      </c>
      <c r="AI69" s="153" t="s">
        <v>554</v>
      </c>
      <c r="AJ69" s="104"/>
      <c r="AK69" s="104"/>
      <c r="AL69" s="104"/>
      <c r="AM69" s="104"/>
      <c r="AN69" s="104"/>
      <c r="AO69" s="104"/>
      <c r="AP69" s="104"/>
    </row>
    <row r="70" spans="1:42" x14ac:dyDescent="0.25">
      <c r="A70" s="359" t="e" cm="1">
        <f t="array" ref="A70">IF(AND(#REF!='Feed(DSCR)'!B10,#REF!='Feed(DSCR)'!C4,OR(#REF!='Feed(DSCR)'!A3:A6),#REF!='Feed(DSCR)'!J3,#REF!='Feed(DSCR)'!L3),TRUE,FALSE)</f>
        <v>#REF!</v>
      </c>
      <c r="B70" s="370" t="s">
        <v>555</v>
      </c>
      <c r="C70"/>
      <c r="F70" s="366" t="s">
        <v>514</v>
      </c>
      <c r="G70" s="366"/>
      <c r="H70" s="366" t="s">
        <v>556</v>
      </c>
      <c r="J70"/>
      <c r="K70"/>
      <c r="L70" s="92" t="s">
        <v>557</v>
      </c>
      <c r="M70" s="153" t="str" cm="1">
        <f t="array" ref="M70">IF(AND(OR('DSCR (LP)'!$S$12='Feed(DSCR)'!$A$3:$A$12),'DSCR (LP)'!$S$24='Feed(DSCR)'!$K$10,OR('DSCR (LP)'!$S$20=$G$10:$G$12)),NA(),"")</f>
        <v/>
      </c>
      <c r="N70" s="92" t="s">
        <v>800</v>
      </c>
      <c r="Q70" s="375" t="s">
        <v>310</v>
      </c>
      <c r="R70" s="374"/>
      <c r="S70" s="375" t="s">
        <v>559</v>
      </c>
      <c r="U70" s="366" t="s">
        <v>272</v>
      </c>
      <c r="V70" s="371"/>
      <c r="W70" s="366" t="s">
        <v>560</v>
      </c>
      <c r="Y70" s="366" t="s">
        <v>272</v>
      </c>
      <c r="Z70" s="371"/>
      <c r="AA70" s="366" t="s">
        <v>561</v>
      </c>
      <c r="AG70" s="153" t="s">
        <v>562</v>
      </c>
      <c r="AH70" s="154" t="str">
        <f>IF(AND(
   ISNUMBER(MATCH('DSCR (LP)'!$S$11, $B$8:$B$11, 0)),
   ISNUMBER(MATCH('DSCR (LP)'!$S$12, $A$3:$A$6, 0)),
   'DSCR (LP)'!$S$21 = $J$3,
   'DSCR (LP)'!$S$20 = $G$5,
   'DSCR (LP)'!$S$13 = $C$9
), NA(), "")</f>
        <v/>
      </c>
      <c r="AI70" s="153" t="s">
        <v>563</v>
      </c>
      <c r="AJ70" s="104"/>
      <c r="AK70" s="104"/>
      <c r="AL70" s="104"/>
      <c r="AM70" s="104"/>
      <c r="AN70" s="104"/>
      <c r="AO70" s="104"/>
      <c r="AP70" s="104"/>
    </row>
    <row r="71" spans="1:42" x14ac:dyDescent="0.25">
      <c r="A71" s="359" t="e" cm="1">
        <f t="array" ref="A71">OR(#REF!='Feed(DSCR)'!B3:B9)</f>
        <v>#REF!</v>
      </c>
      <c r="B71" s="370" t="s">
        <v>564</v>
      </c>
      <c r="C71"/>
      <c r="F71" s="366" t="s">
        <v>565</v>
      </c>
      <c r="G71" s="366"/>
      <c r="H71" s="366" t="s">
        <v>566</v>
      </c>
      <c r="J71"/>
      <c r="K71"/>
      <c r="L71" s="92" t="s">
        <v>567</v>
      </c>
      <c r="M71" s="153" t="str" cm="1">
        <f t="array" ref="M71">IF(AND(OR('DSCR (LP)'!$S$12='Feed(DSCR)'!$A$9:$A$12),'DSCR (LP)'!$S$24='Feed(DSCR)'!$K$10,OR('DSCR (LP)'!$S$20=$G$3:$G$12)),NA(),"")</f>
        <v/>
      </c>
      <c r="N71" s="92" t="s">
        <v>568</v>
      </c>
      <c r="Q71" s="375" t="s">
        <v>310</v>
      </c>
      <c r="R71" s="374"/>
      <c r="S71" s="375" t="s">
        <v>569</v>
      </c>
      <c r="U71" s="366" t="s">
        <v>272</v>
      </c>
      <c r="V71" s="371"/>
      <c r="W71" s="366" t="s">
        <v>570</v>
      </c>
      <c r="Y71" s="366" t="s">
        <v>272</v>
      </c>
      <c r="Z71" s="371"/>
      <c r="AA71" s="366" t="s">
        <v>571</v>
      </c>
      <c r="AG71" s="153" t="s">
        <v>562</v>
      </c>
      <c r="AH71" s="154" t="str">
        <f>IF(AND(
   ISNUMBER(MATCH('DSCR (LP)'!$S$11, $B$7:$B$11, 0)),
   ISNUMBER(MATCH('DSCR (LP)'!$S$12, $A$3:$A$6, 0)),
   'DSCR (LP)'!$S$21 = $J$4,
   'DSCR (LP)'!$S$20 = $G$5,
   'DSCR (LP)'!$S$13 = $C$9
),NA(), "")</f>
        <v/>
      </c>
      <c r="AI71" s="153" t="s">
        <v>572</v>
      </c>
      <c r="AJ71" s="104"/>
      <c r="AK71" s="104"/>
      <c r="AL71" s="104"/>
      <c r="AM71" s="104"/>
      <c r="AN71" s="104"/>
      <c r="AO71" s="104"/>
      <c r="AP71" s="104"/>
    </row>
    <row r="72" spans="1:42" x14ac:dyDescent="0.25">
      <c r="A72" s="193" t="b" cm="1">
        <f t="array" ref="A72">IF(AND('DSCR (LP)'!S11='Feed(DSCR)'!B10,'DSCR (LP)'!S16='Feed(DSCR)'!D3,'DSCR (LP)'!S12='Feed(DSCR)'!C7,OR('DSCR (LP)'!S12=A3:A6),OR('DSCR (LP)'!S21='Feed(DSCR)'!J3:J4)),TRUE,FALSE)</f>
        <v>0</v>
      </c>
      <c r="B72" s="381" t="s">
        <v>573</v>
      </c>
      <c r="C72"/>
      <c r="F72" s="366" t="s">
        <v>574</v>
      </c>
      <c r="G72" s="366"/>
      <c r="H72" s="366" t="s">
        <v>575</v>
      </c>
      <c r="J72"/>
      <c r="K72"/>
      <c r="L72" s="92" t="s">
        <v>576</v>
      </c>
      <c r="M72" s="153" t="str">
        <f>IF(AND(OR('DSCR (LP)'!$S$13='Feed(DSCR)'!$C$5),'DSCR (LP)'!$S$24='Feed(DSCR)'!$K$10),NA(),"")</f>
        <v/>
      </c>
      <c r="N72" s="92" t="s">
        <v>577</v>
      </c>
      <c r="Q72" s="375" t="s">
        <v>310</v>
      </c>
      <c r="R72" s="374"/>
      <c r="S72" s="375" t="s">
        <v>578</v>
      </c>
      <c r="U72" s="366" t="s">
        <v>272</v>
      </c>
      <c r="V72" s="371"/>
      <c r="W72" s="366" t="s">
        <v>579</v>
      </c>
      <c r="Y72" s="366" t="s">
        <v>272</v>
      </c>
      <c r="Z72" s="371"/>
      <c r="AA72" s="366" t="s">
        <v>580</v>
      </c>
      <c r="AG72" s="153" t="s">
        <v>562</v>
      </c>
      <c r="AH72" s="154" t="str">
        <f>IF(AND(
   ISNUMBER(MATCH('DSCR (LP)'!$S$11, $B$6:$B$11, 0)),
   ISNUMBER(MATCH('DSCR (LP)'!$S$12, $A$3:$A$6, 0)),
   ISNUMBER(MATCH('DSCR (LP)'!$S$22, $J$6:$J$7, 0)),
   'DSCR (LP)'!$S$20 = $G$5,
   'DSCR (LP)'!$S$13 = $C$9
), NA(), "")</f>
        <v/>
      </c>
      <c r="AI72" s="153" t="s">
        <v>554</v>
      </c>
      <c r="AJ72" s="104"/>
      <c r="AK72" s="104"/>
      <c r="AL72" s="104"/>
      <c r="AM72" s="104"/>
      <c r="AN72" s="104"/>
      <c r="AO72" s="104"/>
      <c r="AP72" s="104"/>
    </row>
    <row r="73" spans="1:42" ht="15" customHeight="1" x14ac:dyDescent="0.25">
      <c r="A73" s="359" t="e" cm="1">
        <f t="array" ref="A73">IF(AND(OR(#REF!='Feed(DSCR)'!J3:J8),OR(#REF!='Feed(DSCR)'!B10:B11),#REF!='Feed(DSCR)'!C3),TRUE(),FALSE)</f>
        <v>#REF!</v>
      </c>
      <c r="B73" s="370" t="s">
        <v>581</v>
      </c>
      <c r="C73"/>
      <c r="F73" s="366" t="s">
        <v>582</v>
      </c>
      <c r="G73" s="366"/>
      <c r="H73" s="366" t="s">
        <v>583</v>
      </c>
      <c r="J73"/>
      <c r="K73"/>
      <c r="L73" s="92" t="s">
        <v>584</v>
      </c>
      <c r="M73" s="153" t="str" cm="1">
        <f t="array" ref="M73">IF(AND(OR('DSCR (LP)'!$S25=$M6:$M7,'DSCR (LP)'!$S25=$M8:$M10,'DSCR (LP)'!$S25=$M11:$M13),'DSCR (LP)'!$S$24='Feed(DSCR)'!$K$10),NA(),"")</f>
        <v/>
      </c>
      <c r="N73" s="92" t="s">
        <v>585</v>
      </c>
      <c r="Q73" s="375" t="s">
        <v>310</v>
      </c>
      <c r="R73" s="374"/>
      <c r="S73" s="375" t="s">
        <v>586</v>
      </c>
      <c r="U73" s="366" t="s">
        <v>272</v>
      </c>
      <c r="V73" s="371"/>
      <c r="W73" s="366" t="s">
        <v>587</v>
      </c>
      <c r="Y73" s="366" t="s">
        <v>272</v>
      </c>
      <c r="Z73" s="371"/>
      <c r="AA73" s="383" t="s">
        <v>588</v>
      </c>
      <c r="AG73" s="366" t="s">
        <v>589</v>
      </c>
      <c r="AH73" s="371"/>
      <c r="AI73" s="366" t="s">
        <v>590</v>
      </c>
      <c r="AJ73" s="104"/>
      <c r="AK73" s="104"/>
      <c r="AL73" s="104"/>
      <c r="AM73" s="104"/>
      <c r="AN73" s="104"/>
      <c r="AO73" s="104"/>
      <c r="AP73" s="104"/>
    </row>
    <row r="74" spans="1:42" x14ac:dyDescent="0.25">
      <c r="A74" s="359" t="e">
        <f>IF(AND(#REF!='Feed(DSCR)'!J4,OR(#REF!='Feed(DSCR)'!B10),#REF!='Feed(DSCR)'!C4),TRUE(),FALSE)</f>
        <v>#REF!</v>
      </c>
      <c r="B74" s="370" t="s">
        <v>591</v>
      </c>
      <c r="F74" s="366" t="s">
        <v>592</v>
      </c>
      <c r="G74" s="366"/>
      <c r="H74" s="366" t="s">
        <v>593</v>
      </c>
      <c r="L74" s="92" t="s">
        <v>594</v>
      </c>
      <c r="M74" s="153" t="str">
        <f>IF(AND(
   ISNUMBER(MATCH('DSCR (LP)'!$S$11, $B$9:$B$11, 0)),
   ISNUMBER(MATCH('DSCR (LP)'!$S$17, $D$3, 0)),
   ISNUMBER(MATCH('DSCR (LP)'!$S$19, $P$6, 0))
), NA(), "")</f>
        <v/>
      </c>
      <c r="N74" s="92" t="s">
        <v>595</v>
      </c>
      <c r="Q74" s="375" t="s">
        <v>310</v>
      </c>
      <c r="R74" s="374"/>
      <c r="S74" s="375" t="s">
        <v>596</v>
      </c>
      <c r="U74" s="366" t="s">
        <v>272</v>
      </c>
      <c r="V74" s="371"/>
      <c r="W74" s="366" t="s">
        <v>597</v>
      </c>
      <c r="Y74" s="366" t="s">
        <v>272</v>
      </c>
      <c r="Z74" s="371"/>
      <c r="AA74" s="366" t="s">
        <v>597</v>
      </c>
      <c r="AG74" s="366" t="s">
        <v>538</v>
      </c>
      <c r="AH74" s="371"/>
      <c r="AI74" s="366" t="s">
        <v>598</v>
      </c>
      <c r="AJ74" s="104"/>
      <c r="AK74" s="104"/>
      <c r="AL74" s="104"/>
      <c r="AM74" s="104"/>
      <c r="AN74" s="104"/>
      <c r="AO74" s="104"/>
      <c r="AP74" s="104"/>
    </row>
    <row r="75" spans="1:42" x14ac:dyDescent="0.25">
      <c r="A75" s="193" t="b" cm="1">
        <f t="array" ref="A75">IF(AND(OR('DSCR (LP)'!S21='Feed(DSCR)'!J3:J4),OR('DSCR (LP)'!S11='Feed(DSCR)'!B10),'DSCR (LP)'!S16='Feed(DSCR)'!D3),TRUE(),FALSE)</f>
        <v>0</v>
      </c>
      <c r="B75" s="381" t="s">
        <v>599</v>
      </c>
      <c r="F75" s="366" t="s">
        <v>600</v>
      </c>
      <c r="G75" s="366"/>
      <c r="H75" s="366" t="s">
        <v>601</v>
      </c>
      <c r="L75" s="92" t="s">
        <v>602</v>
      </c>
      <c r="M75" s="153" t="str">
        <f>IF(AND(
   ISNUMBER(MATCH('DSCR (LP)'!$S$11, $B$3:$B$11, 0)),
   ISNUMBER(MATCH('DSCR (LP)'!$S$13, $C$8:$C$9, 0)),
   ISNUMBER(MATCH('DSCR (LP)'!$S$19, $P$6, 0))
), NA(), "")</f>
        <v/>
      </c>
      <c r="N75" s="92" t="s">
        <v>603</v>
      </c>
      <c r="Q75" s="375" t="s">
        <v>310</v>
      </c>
      <c r="R75" s="374"/>
      <c r="S75" s="375" t="s">
        <v>604</v>
      </c>
      <c r="U75" s="153" t="s">
        <v>272</v>
      </c>
      <c r="V75" s="154" t="str">
        <f>IF(AND(
   ISNUMBER(MATCH('DSCR (LP)'!$S$11, $B$3:$B$11, 0)),
   ISNUMBER(MATCH('DSCR (LP)'!$S$15, $D$16, 0)),
   ISNUMBER(MATCH('DSCR (LP)'!$S$20, $G$3:$G$12, 0)),
   ISNUMBER(MATCH('DSCR (LP)'!$S$13, $C$5:$C$8, 0)),
   'DSCR (LP)'!$S$17 = $D$3
), NA(), "")</f>
        <v/>
      </c>
      <c r="W75" s="153" t="s">
        <v>605</v>
      </c>
      <c r="AG75" s="366" t="s">
        <v>538</v>
      </c>
      <c r="AH75" s="371"/>
      <c r="AI75" s="366" t="s">
        <v>606</v>
      </c>
      <c r="AJ75" s="104"/>
      <c r="AK75" s="104"/>
      <c r="AL75" s="104"/>
      <c r="AM75" s="104"/>
      <c r="AN75" s="104"/>
      <c r="AO75" s="104"/>
      <c r="AP75" s="104"/>
    </row>
    <row r="76" spans="1:42" x14ac:dyDescent="0.25">
      <c r="L76" s="92" t="s">
        <v>607</v>
      </c>
      <c r="M76" s="153" t="str">
        <f>IF(AND(
   ISNUMBER(MATCH('DSCR (LP)'!$S$11, $B$3:$B$11, 0)),
   ISNUMBER(MATCH('DSCR (LP)'!$S$13, $C$5, 0)),
   ISNUMBER(MATCH('DSCR (LP)'!$S$19, $P$6, 0))
), NA(), "")</f>
        <v/>
      </c>
      <c r="N76" s="92" t="s">
        <v>603</v>
      </c>
      <c r="Q76" s="375" t="s">
        <v>310</v>
      </c>
      <c r="R76" s="374"/>
      <c r="S76" s="375" t="s">
        <v>608</v>
      </c>
      <c r="U76" s="153" t="s">
        <v>272</v>
      </c>
      <c r="V76" s="154" t="str">
        <f>IF(AND(ISNUMBER(MATCH('DSCR (LP)'!$S$11,$B$3:$B$11,0)),ISNUMBER(MATCH('DSCR (LP)'!$S$15,$D$18,0)),ISNUMBER(MATCH('DSCR (LP)'!$S$20,$G$3:$G$12,0)),
   ISNUMBER(MATCH('DSCR (LP)'!$S$13,$C$5:$C$8,0)),'DSCR (LP)'!$S$17=$D$3),NA(),"")</f>
        <v/>
      </c>
      <c r="W76" s="153" t="s">
        <v>893</v>
      </c>
      <c r="AG76" s="366" t="s">
        <v>538</v>
      </c>
      <c r="AH76" s="366"/>
      <c r="AI76" s="366" t="s">
        <v>610</v>
      </c>
      <c r="AJ76" s="104"/>
      <c r="AK76" s="104"/>
      <c r="AL76" s="104"/>
      <c r="AM76" s="104"/>
      <c r="AN76" s="104"/>
      <c r="AO76" s="104"/>
      <c r="AP76" s="104"/>
    </row>
    <row r="77" spans="1:42" x14ac:dyDescent="0.25">
      <c r="L77" s="92" t="s">
        <v>178</v>
      </c>
      <c r="M77" s="153"/>
      <c r="N77" s="92" t="s">
        <v>611</v>
      </c>
      <c r="Q77" s="375" t="s">
        <v>612</v>
      </c>
      <c r="R77" s="485" t="str">
        <f>IF(AND(
   ISNUMBER(MATCH('DSCR (LP)'!$S$19, $P$6, 0)),
   ISNUMBER(MATCH('DSCR (LP)'!$S$11, $B$7:$B$11, 0)),
   ISNUMBER(MATCH('DSCR (LP)'!$S$21, $J$6:$J$7, 0)),
   ISNUMBER(MATCH('DSCR (LP)'!$S$20, $G$5, 0)),
), NA(), "")</f>
        <v/>
      </c>
      <c r="S77" s="375" t="s">
        <v>774</v>
      </c>
      <c r="AG77" s="366" t="s">
        <v>562</v>
      </c>
      <c r="AH77" s="371"/>
      <c r="AI77" s="366" t="s">
        <v>613</v>
      </c>
      <c r="AJ77" s="104"/>
      <c r="AK77" s="104"/>
      <c r="AL77" s="104"/>
      <c r="AM77" s="104"/>
      <c r="AN77" s="104"/>
      <c r="AO77" s="104"/>
      <c r="AP77" s="104"/>
    </row>
    <row r="78" spans="1:42" x14ac:dyDescent="0.25">
      <c r="L78" s="92" t="s">
        <v>623</v>
      </c>
      <c r="M78" s="153" t="str" cm="1">
        <f t="array" ref="M78">IF(AND(
   ISNUMBER(MATCH('DSCR (LP)'!$S$12, $A$3:$A$12, 0)),
   ISNUMBER(MATCH('DSCR (LP)'!$S$11, $B$8:$B$11, 0)),
   ISNUMBER(MATCH('DSCR (LP)'!$S$21, $J$6:$J$7, 0)),
   ISNUMBER(MATCH('DSCR (LP)'!$S$20, $G$5:$G$6, 0)),
   ISNUMBER(MATCH('DSCR (LP)'!$S$13 = $C$6:$C$7, 0)),
   'DSCR (LP)'!$S$18 = $E$9
), NA(), "")</f>
        <v/>
      </c>
      <c r="N78" s="92" t="s">
        <v>624</v>
      </c>
      <c r="Q78" s="375" t="s">
        <v>612</v>
      </c>
      <c r="R78" s="374"/>
      <c r="S78" s="375" t="s">
        <v>614</v>
      </c>
      <c r="AG78" s="366" t="s">
        <v>562</v>
      </c>
      <c r="AH78" s="371"/>
      <c r="AI78" s="366" t="s">
        <v>615</v>
      </c>
      <c r="AJ78" s="104"/>
      <c r="AK78" s="104"/>
      <c r="AL78" s="104"/>
      <c r="AM78" s="104"/>
      <c r="AN78" s="104"/>
      <c r="AO78" s="104"/>
      <c r="AP78" s="104"/>
    </row>
    <row r="79" spans="1:42" x14ac:dyDescent="0.25">
      <c r="Q79" s="375" t="s">
        <v>612</v>
      </c>
      <c r="R79" s="374"/>
      <c r="S79" s="375" t="s">
        <v>616</v>
      </c>
      <c r="AG79" s="366" t="s">
        <v>562</v>
      </c>
      <c r="AH79" s="371"/>
      <c r="AI79" s="366" t="s">
        <v>617</v>
      </c>
      <c r="AJ79" s="104"/>
      <c r="AK79" s="104"/>
      <c r="AL79" s="104"/>
      <c r="AM79" s="104"/>
      <c r="AN79" s="104"/>
      <c r="AO79" s="104"/>
      <c r="AP79" s="104"/>
    </row>
    <row r="80" spans="1:42" ht="15.75" thickBot="1" x14ac:dyDescent="0.3">
      <c r="B80" s="711" t="s">
        <v>618</v>
      </c>
      <c r="C80" s="712"/>
      <c r="D80" s="712"/>
      <c r="E80" s="712"/>
      <c r="F80"/>
      <c r="I80" s="701" t="s">
        <v>618</v>
      </c>
      <c r="J80" s="702"/>
      <c r="K80" s="702"/>
      <c r="L80" s="703"/>
      <c r="Q80" s="375" t="s">
        <v>612</v>
      </c>
      <c r="R80" s="374"/>
      <c r="S80" s="376"/>
      <c r="AH80" s="104"/>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367">
        <v>0</v>
      </c>
      <c r="Q81" s="131" t="s">
        <v>612</v>
      </c>
      <c r="R81" s="153" t="str">
        <f>IF(AND(
   ISNUMBER(MATCH('DSCR (LP)'!$S$13, $C$6:$C$7, 0)),
   ISNUMBER(MATCH('DSCR (LP)'!$S$11, $B$8:$B$11, 0)),
   ISNUMBER(MATCH('DSCR (LP)'!$S$21, $J$6:$J$7, 0)),
   ISNUMBER(MATCH('DSCR (LP)'!$S$20, $G$5, 0)),
   'DSCR (LP)'!$S$19 = $P$6
), NA(), "")</f>
        <v/>
      </c>
      <c r="AH81" s="104"/>
      <c r="AJ81" s="104"/>
      <c r="AK81" s="104"/>
      <c r="AL81" s="104"/>
      <c r="AM81" s="104"/>
      <c r="AN81" s="104"/>
      <c r="AO81" s="104"/>
      <c r="AP81" s="104"/>
    </row>
    <row r="82" spans="2:48" x14ac:dyDescent="0.25">
      <c r="B82" s="139">
        <f>'DSCR (LP)'!B11</f>
        <v>5.875</v>
      </c>
      <c r="C82" s="140"/>
      <c r="D82" s="140"/>
      <c r="E82" s="141">
        <f>'DSCR (LP)'!C11</f>
        <v>97.138000000000062</v>
      </c>
      <c r="F82" s="141" t="e">
        <f>'DSCR (LP)'!D11</f>
        <v>#N/A</v>
      </c>
      <c r="G82" s="142" t="e">
        <f>SUM('DSCR (LP)'!T12:T35)+B67</f>
        <v>#N/A</v>
      </c>
      <c r="H82" s="143">
        <v>1</v>
      </c>
      <c r="I82" s="144">
        <f t="shared" ref="I82:I124" si="0">B82</f>
        <v>5.875</v>
      </c>
      <c r="J82" s="145"/>
      <c r="K82" s="145"/>
      <c r="L82" s="146" t="e">
        <f t="shared" ref="L82:M84" si="1">E82+$G$82</f>
        <v>#N/A</v>
      </c>
      <c r="M82" s="146" t="e">
        <f t="shared" si="1"/>
        <v>#N/A</v>
      </c>
      <c r="N82" s="368" cm="1">
        <f t="array" ref="N82:N124">I82:I124</f>
        <v>5.875</v>
      </c>
      <c r="Q82" s="606" t="s">
        <v>623</v>
      </c>
      <c r="R82" s="153" t="str" cm="1">
        <f t="array" ref="R82">IF(AND(
   ISNUMBER(MATCH('DSCR (LP)'!$S$12, $A$3:$A$12, 0)),
   ISNUMBER(MATCH('DSCR (LP)'!$S$11, $B$8:$B$11, 0)),
   ISNUMBER(MATCH('DSCR (LP)'!$S$21, $J$5, 0)),
   ISNUMBER(MATCH('DSCR (LP)'!$S$21, $J$7, 0)),
   ISNUMBER(MATCH('DSCR (LP)'!$S$20, $G$5:$G$6, 0)),
   ISNUMBER(MATCH('DSCR (LP)'!$S$13 = $C$6:$C$7, 0)),
   'DSCR (LP)'!$S$18 = $E$9
), NA(), "")</f>
        <v/>
      </c>
      <c r="S82" s="606" t="s">
        <v>624</v>
      </c>
      <c r="AH82" s="104"/>
      <c r="AJ82" s="104"/>
      <c r="AK82" s="104"/>
      <c r="AL82" s="104"/>
      <c r="AM82" s="104"/>
      <c r="AN82" s="104"/>
      <c r="AO82" s="104"/>
      <c r="AP82" s="104"/>
    </row>
    <row r="83" spans="2:48" x14ac:dyDescent="0.25">
      <c r="B83" s="147">
        <f>'DSCR (LP)'!B12</f>
        <v>5.9989999999999997</v>
      </c>
      <c r="C83" s="148"/>
      <c r="D83" s="148"/>
      <c r="E83" s="149">
        <f>'DSCR (LP)'!C12</f>
        <v>97.888000000000062</v>
      </c>
      <c r="F83" s="149" t="e">
        <f>'DSCR (LP)'!D12</f>
        <v>#N/A</v>
      </c>
      <c r="G83" s="92" t="s">
        <v>625</v>
      </c>
      <c r="H83" s="143">
        <v>2</v>
      </c>
      <c r="I83" s="150">
        <f t="shared" si="0"/>
        <v>5.9989999999999997</v>
      </c>
      <c r="J83" s="151"/>
      <c r="K83" s="151"/>
      <c r="L83" s="152" t="e">
        <f t="shared" si="1"/>
        <v>#N/A</v>
      </c>
      <c r="M83" s="152" t="e">
        <f t="shared" si="1"/>
        <v>#N/A</v>
      </c>
      <c r="N83" s="368">
        <v>5.9989999999999997</v>
      </c>
      <c r="AH83" s="104"/>
      <c r="AJ83" s="104"/>
      <c r="AK83" s="104"/>
      <c r="AL83" s="104"/>
      <c r="AM83" s="104"/>
      <c r="AN83" s="104"/>
      <c r="AO83" s="104"/>
      <c r="AP83" s="104"/>
    </row>
    <row r="84" spans="2:48" ht="15.75" thickBot="1" x14ac:dyDescent="0.3">
      <c r="B84" s="147">
        <f>'DSCR (LP)'!B13</f>
        <v>6.125</v>
      </c>
      <c r="C84" s="148"/>
      <c r="D84" s="148"/>
      <c r="E84" s="149">
        <f>'DSCR (LP)'!C13</f>
        <v>98.51250000000006</v>
      </c>
      <c r="F84" s="149" t="e">
        <f>'DSCR (LP)'!D13</f>
        <v>#N/A</v>
      </c>
      <c r="G84" s="92" t="s">
        <v>626</v>
      </c>
      <c r="H84" s="143">
        <v>3</v>
      </c>
      <c r="I84" s="150">
        <f t="shared" si="0"/>
        <v>6.125</v>
      </c>
      <c r="J84" s="151"/>
      <c r="K84" s="151"/>
      <c r="L84" s="152" t="e">
        <f t="shared" si="1"/>
        <v>#N/A</v>
      </c>
      <c r="M84" s="152" t="e">
        <f t="shared" si="1"/>
        <v>#N/A</v>
      </c>
      <c r="N84" s="368">
        <v>6.125</v>
      </c>
      <c r="AG84" s="611" t="s">
        <v>654</v>
      </c>
      <c r="AH84" s="613"/>
      <c r="AI84" s="612"/>
      <c r="AJ84" s="104"/>
      <c r="AK84" s="104"/>
      <c r="AL84" s="104"/>
      <c r="AM84" s="104"/>
      <c r="AN84" s="104"/>
      <c r="AO84" s="104"/>
      <c r="AP84" s="104"/>
    </row>
    <row r="85" spans="2:48" x14ac:dyDescent="0.25">
      <c r="B85" s="147">
        <f>'DSCR (LP)'!B14</f>
        <v>6.25</v>
      </c>
      <c r="C85" s="148"/>
      <c r="D85" s="148"/>
      <c r="E85" s="149">
        <f>'DSCR (LP)'!C14</f>
        <v>98.95000000000006</v>
      </c>
      <c r="F85" s="149" t="e">
        <f>'DSCR (LP)'!D14</f>
        <v>#N/A</v>
      </c>
      <c r="G85" s="142" t="e">
        <f>'DSCR (LP)'!T40</f>
        <v>#N/A</v>
      </c>
      <c r="H85" s="143">
        <v>4</v>
      </c>
      <c r="I85" s="150">
        <f t="shared" si="0"/>
        <v>6.25</v>
      </c>
      <c r="J85" s="151"/>
      <c r="K85" s="151"/>
      <c r="L85" s="152" t="e">
        <f>E85+$G$82</f>
        <v>#N/A</v>
      </c>
      <c r="M85" s="152" t="e">
        <f>F85+$G$82</f>
        <v>#N/A</v>
      </c>
      <c r="N85" s="368">
        <v>6.25</v>
      </c>
      <c r="P85" s="142"/>
      <c r="U85" s="92"/>
      <c r="V85" s="92"/>
      <c r="W85" s="92"/>
      <c r="Y85" s="365" t="s">
        <v>627</v>
      </c>
      <c r="Z85" s="371"/>
      <c r="AA85" s="371"/>
      <c r="AG85" s="92" t="s">
        <v>655</v>
      </c>
      <c r="AH85" s="153" t="str">
        <f>IF(AND(ISNUMBER(MATCH('DSCR (LP)'!$S$12, $A$9:$A$12, 0)),'DSCR (LP)'!$S$21 = $J$5), NA(), "")</f>
        <v/>
      </c>
      <c r="AI85" s="92" t="s">
        <v>656</v>
      </c>
      <c r="AJ85" s="104"/>
      <c r="AK85" s="104"/>
      <c r="AL85" s="104"/>
      <c r="AM85" s="104"/>
      <c r="AN85" s="104"/>
      <c r="AO85" s="104"/>
      <c r="AP85" s="104"/>
    </row>
    <row r="86" spans="2:48" x14ac:dyDescent="0.25">
      <c r="B86" s="147">
        <f>'DSCR (LP)'!B15</f>
        <v>6.375</v>
      </c>
      <c r="C86" s="148"/>
      <c r="D86" s="148"/>
      <c r="E86" s="149">
        <f>'DSCR (LP)'!C15</f>
        <v>99.325500000000062</v>
      </c>
      <c r="F86" s="149" t="e">
        <f>'DSCR (LP)'!D15</f>
        <v>#N/A</v>
      </c>
      <c r="H86" s="143">
        <v>5</v>
      </c>
      <c r="I86" s="150">
        <f t="shared" si="0"/>
        <v>6.375</v>
      </c>
      <c r="J86" s="151"/>
      <c r="K86" s="151"/>
      <c r="L86" s="152" t="e">
        <f t="shared" ref="L86:L124" si="2">E86+$G$82</f>
        <v>#N/A</v>
      </c>
      <c r="M86" s="152" t="e">
        <f t="shared" ref="M86:M124" si="3">F86+$G$82</f>
        <v>#N/A</v>
      </c>
      <c r="N86" s="368">
        <v>6.375</v>
      </c>
      <c r="P86" s="142"/>
      <c r="U86" s="92"/>
      <c r="V86" s="92"/>
      <c r="W86" s="92"/>
      <c r="Y86" s="366" t="s">
        <v>272</v>
      </c>
      <c r="Z86" s="366"/>
      <c r="AA86" s="366" t="s">
        <v>628</v>
      </c>
      <c r="AG86" s="92" t="s">
        <v>657</v>
      </c>
      <c r="AH86" s="153" t="str">
        <f>IF(AND(
   ISNUMBER(MATCH('DSCR (LP)'!$S$12, $A$9:$A$12, 0)),
   'DSCR (LP)'!$S$21 = $J$4), NA(), "")</f>
        <v/>
      </c>
      <c r="AI86" s="92" t="s">
        <v>658</v>
      </c>
      <c r="AJ86" s="104"/>
      <c r="AK86" s="104"/>
      <c r="AL86" s="104"/>
      <c r="AM86" s="104"/>
      <c r="AN86" s="104"/>
      <c r="AO86" s="104"/>
      <c r="AP86" s="104"/>
    </row>
    <row r="87" spans="2:48" x14ac:dyDescent="0.25">
      <c r="B87" s="147">
        <f>'DSCR (LP)'!B16</f>
        <v>6.4989999999999997</v>
      </c>
      <c r="C87" s="148"/>
      <c r="D87" s="148"/>
      <c r="E87" s="149">
        <f>'DSCR (LP)'!C16</f>
        <v>99.825500000000062</v>
      </c>
      <c r="F87" s="149" t="e">
        <f>'DSCR (LP)'!D16</f>
        <v>#N/A</v>
      </c>
      <c r="H87" s="143">
        <v>6</v>
      </c>
      <c r="I87" s="150">
        <f t="shared" si="0"/>
        <v>6.4989999999999997</v>
      </c>
      <c r="J87" s="151"/>
      <c r="K87" s="151"/>
      <c r="L87" s="152" t="e">
        <f t="shared" si="2"/>
        <v>#N/A</v>
      </c>
      <c r="M87" s="152" t="e">
        <f t="shared" si="3"/>
        <v>#N/A</v>
      </c>
      <c r="N87" s="368">
        <v>6.4989999999999997</v>
      </c>
      <c r="P87" s="142"/>
      <c r="Y87" s="366" t="s">
        <v>272</v>
      </c>
      <c r="Z87" s="366"/>
      <c r="AA87" s="366" t="s">
        <v>285</v>
      </c>
      <c r="AG87" s="92" t="s">
        <v>660</v>
      </c>
      <c r="AH87" s="153" t="str">
        <f>IF(AND(
   ISNUMBER(MATCH('DSCR (LP)'!$S$12, $A$3:$A$8, 0)),
   'DSCR (LP)'!$S$21 = $J$6), NA(), "")</f>
        <v/>
      </c>
      <c r="AI87" s="92" t="s">
        <v>661</v>
      </c>
      <c r="AJ87" s="104"/>
      <c r="AK87" s="104"/>
      <c r="AL87" s="104"/>
      <c r="AM87" s="104"/>
      <c r="AN87" s="104"/>
      <c r="AO87" s="104"/>
      <c r="AP87" s="104"/>
    </row>
    <row r="88" spans="2:48" x14ac:dyDescent="0.25">
      <c r="B88" s="147">
        <f>'DSCR (LP)'!B17</f>
        <v>6.625</v>
      </c>
      <c r="C88" s="148"/>
      <c r="D88" s="148"/>
      <c r="E88" s="149">
        <f>'DSCR (LP)'!C17</f>
        <v>100.29350000000007</v>
      </c>
      <c r="F88" s="149" t="e">
        <f>'DSCR (LP)'!D17</f>
        <v>#N/A</v>
      </c>
      <c r="H88" s="143">
        <v>7</v>
      </c>
      <c r="I88" s="150">
        <f t="shared" si="0"/>
        <v>6.625</v>
      </c>
      <c r="J88" s="151"/>
      <c r="K88" s="151"/>
      <c r="L88" s="152" t="e">
        <f t="shared" si="2"/>
        <v>#N/A</v>
      </c>
      <c r="M88" s="152" t="e">
        <f t="shared" si="3"/>
        <v>#N/A</v>
      </c>
      <c r="N88" s="368">
        <v>6.625</v>
      </c>
      <c r="P88" s="142"/>
      <c r="U88" s="92"/>
      <c r="V88" s="92"/>
      <c r="W88" s="92"/>
      <c r="Y88" s="366" t="s">
        <v>272</v>
      </c>
      <c r="Z88" s="366"/>
      <c r="AA88" s="366" t="s">
        <v>297</v>
      </c>
      <c r="AG88" s="92" t="s">
        <v>663</v>
      </c>
      <c r="AH88" s="153" t="str">
        <f>IF(AND(
   ISNUMBER(MATCH('DSCR (LP)'!$S$12, $A$3:$A$8, 0)),
   'DSCR (LP)'!$S$21 = $J$7), NA(), "")</f>
        <v/>
      </c>
      <c r="AI88" s="92" t="s">
        <v>662</v>
      </c>
      <c r="AJ88" s="104"/>
      <c r="AK88" s="104"/>
      <c r="AL88" s="104"/>
      <c r="AM88" s="104"/>
      <c r="AN88" s="104"/>
      <c r="AO88" s="104"/>
      <c r="AP88" s="104"/>
    </row>
    <row r="89" spans="2:48" x14ac:dyDescent="0.25">
      <c r="B89" s="147">
        <f>'DSCR (LP)'!B18</f>
        <v>6.75</v>
      </c>
      <c r="C89" s="148"/>
      <c r="D89" s="148"/>
      <c r="E89" s="149">
        <f>'DSCR (LP)'!C18</f>
        <v>100.73150000000005</v>
      </c>
      <c r="F89" s="149" t="e">
        <f>'DSCR (LP)'!D18</f>
        <v>#N/A</v>
      </c>
      <c r="G89" s="92" t="str">
        <f>'DSCR (LP)'!S17</f>
        <v>Choose a Selection</v>
      </c>
      <c r="H89" s="143">
        <v>8</v>
      </c>
      <c r="I89" s="150">
        <f t="shared" si="0"/>
        <v>6.75</v>
      </c>
      <c r="J89" s="151"/>
      <c r="K89" s="151"/>
      <c r="L89" s="152" t="e">
        <f t="shared" si="2"/>
        <v>#N/A</v>
      </c>
      <c r="M89" s="152" t="e">
        <f t="shared" si="3"/>
        <v>#N/A</v>
      </c>
      <c r="N89" s="368">
        <v>6.75</v>
      </c>
      <c r="P89" s="142"/>
      <c r="U89" s="92"/>
      <c r="V89" s="92"/>
      <c r="W89" s="92"/>
      <c r="Y89" s="366" t="s">
        <v>272</v>
      </c>
      <c r="Z89" s="366"/>
      <c r="AA89" s="366" t="s">
        <v>305</v>
      </c>
      <c r="AG89" s="92" t="s">
        <v>757</v>
      </c>
      <c r="AH89" s="153" t="str">
        <f>IF(AND(
   ISNUMBER(MATCH('DSCR (LP)'!$S$14, $C$15:$C$16, 0)),
   'DSCR (LP)'!$S$13 = $C$10), NA(), "")</f>
        <v/>
      </c>
      <c r="AI89" s="92" t="s">
        <v>758</v>
      </c>
      <c r="AJ89" s="104"/>
      <c r="AK89" s="104"/>
      <c r="AL89" s="104"/>
      <c r="AM89" s="104"/>
      <c r="AN89" s="104"/>
      <c r="AO89" s="104"/>
      <c r="AP89" s="104"/>
    </row>
    <row r="90" spans="2:48" x14ac:dyDescent="0.25">
      <c r="B90" s="147">
        <f>'DSCR (LP)'!B19</f>
        <v>6.875</v>
      </c>
      <c r="C90" s="148"/>
      <c r="D90" s="148"/>
      <c r="E90" s="149">
        <f>'DSCR (LP)'!C19</f>
        <v>101.15350000000007</v>
      </c>
      <c r="F90" s="149" t="e">
        <f>'DSCR (LP)'!D19</f>
        <v>#N/A</v>
      </c>
      <c r="G90" s="92" t="str">
        <f>IF('DSCR (LP)'!S24="DSCR 5-8", "DSCR 5-8", "")</f>
        <v/>
      </c>
      <c r="H90" s="143">
        <v>9</v>
      </c>
      <c r="I90" s="150">
        <f t="shared" si="0"/>
        <v>6.875</v>
      </c>
      <c r="J90" s="151"/>
      <c r="K90" s="151"/>
      <c r="L90" s="152" t="e">
        <f t="shared" si="2"/>
        <v>#N/A</v>
      </c>
      <c r="M90" s="152" t="e">
        <f t="shared" si="3"/>
        <v>#N/A</v>
      </c>
      <c r="N90" s="368">
        <v>6.875</v>
      </c>
      <c r="P90" s="142"/>
      <c r="U90" s="92"/>
      <c r="V90" s="92"/>
      <c r="W90" s="92"/>
      <c r="Y90" s="366" t="s">
        <v>272</v>
      </c>
      <c r="Z90" s="366"/>
      <c r="AA90" s="366" t="s">
        <v>312</v>
      </c>
      <c r="AG90" s="104"/>
      <c r="AH90" s="104"/>
      <c r="AI90" s="104"/>
      <c r="AJ90" s="104"/>
      <c r="AK90" s="104"/>
      <c r="AL90" s="104"/>
      <c r="AM90" s="104"/>
      <c r="AN90" s="104"/>
      <c r="AO90" s="104"/>
      <c r="AP90" s="104"/>
    </row>
    <row r="91" spans="2:48" x14ac:dyDescent="0.25">
      <c r="B91" s="147">
        <f>'DSCR (LP)'!B20</f>
        <v>6.9989999999999997</v>
      </c>
      <c r="C91" s="148"/>
      <c r="D91" s="148"/>
      <c r="E91" s="149">
        <f>'DSCR (LP)'!C20</f>
        <v>101.55950000000006</v>
      </c>
      <c r="F91" s="149">
        <f>'DSCR (LP)'!D20</f>
        <v>96.924999999999997</v>
      </c>
      <c r="G91" s="92" t="str">
        <f>IF('DSCR (LP)'!S24="DSCR 5-8", "DSCR 5-8", "")</f>
        <v/>
      </c>
      <c r="H91" s="143">
        <v>10</v>
      </c>
      <c r="I91" s="150">
        <f t="shared" si="0"/>
        <v>6.9989999999999997</v>
      </c>
      <c r="J91" s="151"/>
      <c r="K91" s="151"/>
      <c r="L91" s="152" t="e">
        <f t="shared" si="2"/>
        <v>#N/A</v>
      </c>
      <c r="M91" s="152" t="e">
        <f t="shared" si="3"/>
        <v>#N/A</v>
      </c>
      <c r="N91" s="368">
        <v>6.9989999999999997</v>
      </c>
      <c r="P91" s="142"/>
      <c r="Y91" s="366" t="s">
        <v>272</v>
      </c>
      <c r="Z91" s="366"/>
      <c r="AA91" s="366" t="s">
        <v>317</v>
      </c>
      <c r="AG91" s="394"/>
      <c r="AH91" s="104"/>
      <c r="AI91" s="104"/>
      <c r="AJ91" s="104"/>
      <c r="AK91" s="104"/>
      <c r="AL91" s="104"/>
      <c r="AM91" s="104"/>
      <c r="AN91" s="104"/>
      <c r="AO91" s="104"/>
      <c r="AP91" s="104"/>
    </row>
    <row r="92" spans="2:48" x14ac:dyDescent="0.25">
      <c r="B92" s="147">
        <f>'DSCR (LP)'!B21</f>
        <v>7.125</v>
      </c>
      <c r="C92" s="148"/>
      <c r="D92" s="148"/>
      <c r="E92" s="149">
        <f>'DSCR (LP)'!C21</f>
        <v>101.93450000000006</v>
      </c>
      <c r="F92" s="149">
        <f>'DSCR (LP)'!D21</f>
        <v>97.3</v>
      </c>
      <c r="H92" s="143">
        <v>11</v>
      </c>
      <c r="I92" s="150">
        <f t="shared" si="0"/>
        <v>7.125</v>
      </c>
      <c r="J92" s="151"/>
      <c r="K92" s="151"/>
      <c r="L92" s="152" t="e">
        <f t="shared" si="2"/>
        <v>#N/A</v>
      </c>
      <c r="M92" s="152" t="e">
        <f t="shared" si="3"/>
        <v>#N/A</v>
      </c>
      <c r="N92" s="368">
        <v>7.125</v>
      </c>
      <c r="P92" s="142"/>
      <c r="Y92" s="366" t="s">
        <v>272</v>
      </c>
      <c r="Z92" s="366"/>
      <c r="AA92" s="366" t="s">
        <v>325</v>
      </c>
      <c r="AM92" s="104"/>
      <c r="AN92" s="104"/>
      <c r="AO92" s="104"/>
      <c r="AP92" s="104"/>
      <c r="AQ92" s="104"/>
      <c r="AR92" s="104"/>
      <c r="AS92" s="104"/>
      <c r="AT92" s="104"/>
      <c r="AU92" s="104"/>
      <c r="AV92" s="104"/>
    </row>
    <row r="93" spans="2:48" x14ac:dyDescent="0.25">
      <c r="B93" s="147">
        <f>'DSCR (LP)'!B22</f>
        <v>7.25</v>
      </c>
      <c r="C93" s="148"/>
      <c r="D93" s="148"/>
      <c r="E93" s="149">
        <f>'DSCR (LP)'!C22</f>
        <v>102.30950000000006</v>
      </c>
      <c r="F93" s="149">
        <f>'DSCR (LP)'!D22</f>
        <v>97.8</v>
      </c>
      <c r="H93" s="143">
        <v>12</v>
      </c>
      <c r="I93" s="150">
        <f t="shared" si="0"/>
        <v>7.25</v>
      </c>
      <c r="J93" s="151"/>
      <c r="K93" s="151"/>
      <c r="L93" s="152" t="e">
        <f t="shared" si="2"/>
        <v>#N/A</v>
      </c>
      <c r="M93" s="152" t="e">
        <f t="shared" si="3"/>
        <v>#N/A</v>
      </c>
      <c r="N93" s="368">
        <v>7.25</v>
      </c>
      <c r="Y93" s="366" t="s">
        <v>272</v>
      </c>
      <c r="Z93" s="366"/>
      <c r="AA93" s="366" t="s">
        <v>296</v>
      </c>
      <c r="AM93" s="104"/>
      <c r="AN93" s="104"/>
      <c r="AO93" s="104"/>
      <c r="AP93" s="104"/>
      <c r="AQ93" s="104"/>
      <c r="AR93" s="104"/>
      <c r="AS93" s="104"/>
      <c r="AT93" s="104"/>
      <c r="AU93" s="104"/>
      <c r="AV93" s="104"/>
    </row>
    <row r="94" spans="2:48" ht="15.75" thickBot="1" x14ac:dyDescent="0.3">
      <c r="B94" s="147">
        <f>'DSCR (LP)'!B23</f>
        <v>7.375</v>
      </c>
      <c r="C94" s="148"/>
      <c r="D94" s="148"/>
      <c r="E94" s="149">
        <f>'DSCR (LP)'!C23</f>
        <v>102.68450000000006</v>
      </c>
      <c r="F94" s="149">
        <f>'DSCR (LP)'!D23</f>
        <v>98.174999999999997</v>
      </c>
      <c r="G94" s="142" t="e">
        <f>SUM('DSCR (LP)'!T12:T35)+B67</f>
        <v>#N/A</v>
      </c>
      <c r="H94" s="143">
        <v>13</v>
      </c>
      <c r="I94" s="150">
        <f t="shared" si="0"/>
        <v>7.375</v>
      </c>
      <c r="J94" s="151"/>
      <c r="K94" s="151"/>
      <c r="L94" s="152" t="e">
        <f t="shared" si="2"/>
        <v>#N/A</v>
      </c>
      <c r="M94" s="152" t="e">
        <f t="shared" si="3"/>
        <v>#N/A</v>
      </c>
      <c r="N94" s="368">
        <v>7.375</v>
      </c>
      <c r="Y94" s="366" t="s">
        <v>272</v>
      </c>
      <c r="Z94" s="366"/>
      <c r="AA94" s="366" t="s">
        <v>339</v>
      </c>
      <c r="AG94" s="611" t="s">
        <v>781</v>
      </c>
      <c r="AH94" s="612"/>
      <c r="AI94" s="612"/>
      <c r="AM94" s="104"/>
      <c r="AN94" s="104"/>
      <c r="AO94" s="104"/>
      <c r="AP94" s="104"/>
      <c r="AQ94" s="104"/>
      <c r="AR94" s="104"/>
      <c r="AS94" s="104"/>
    </row>
    <row r="95" spans="2:48" x14ac:dyDescent="0.25">
      <c r="B95" s="147">
        <f>'DSCR (LP)'!B24</f>
        <v>7.4989999999999997</v>
      </c>
      <c r="C95" s="148"/>
      <c r="D95" s="148"/>
      <c r="E95" s="149">
        <f>'DSCR (LP)'!C24</f>
        <v>103.02850000000007</v>
      </c>
      <c r="F95" s="149">
        <f>'DSCR (LP)'!D24</f>
        <v>98.8</v>
      </c>
      <c r="H95" s="143">
        <v>14</v>
      </c>
      <c r="I95" s="150">
        <f t="shared" si="0"/>
        <v>7.4989999999999997</v>
      </c>
      <c r="J95" s="151"/>
      <c r="K95" s="151"/>
      <c r="L95" s="152" t="e">
        <f t="shared" si="2"/>
        <v>#N/A</v>
      </c>
      <c r="M95" s="152" t="e">
        <f t="shared" si="3"/>
        <v>#N/A</v>
      </c>
      <c r="N95" s="368">
        <v>7.4989999999999997</v>
      </c>
      <c r="Y95" s="366" t="s">
        <v>272</v>
      </c>
      <c r="Z95" s="371"/>
      <c r="AA95" s="366" t="s">
        <v>346</v>
      </c>
      <c r="AG95" t="s">
        <v>788</v>
      </c>
      <c r="AH95" s="153" t="str" cm="1">
        <f t="array" ref="AH95">IF(AND(OR('DSCR (LP)'!$S$12=$A$3:$A$6),'DSCR (LP)'!$S$24='Feed(DSCR)'!$K$10,OR('DSCR (LP)'!$S$20=$G$8:$G$12),OR('DSCR (LP)'!$S$11=$B$7:$B$11),OR('DSCR (LP)'!$S$21='Feed(DSCR)'!$J$3)),NA(),"")</f>
        <v/>
      </c>
      <c r="AI95" s="92" t="s">
        <v>801</v>
      </c>
      <c r="AM95" s="104"/>
      <c r="AN95" s="104"/>
      <c r="AO95" s="104"/>
      <c r="AP95" s="104"/>
      <c r="AQ95" s="104"/>
      <c r="AR95" s="104"/>
      <c r="AS95" s="104"/>
    </row>
    <row r="96" spans="2:48" x14ac:dyDescent="0.25">
      <c r="B96" s="147">
        <f>'DSCR (LP)'!B25</f>
        <v>7.625</v>
      </c>
      <c r="C96" s="148"/>
      <c r="D96" s="148"/>
      <c r="E96" s="149">
        <f>'DSCR (LP)'!C25</f>
        <v>103.34050000000006</v>
      </c>
      <c r="F96" s="149">
        <f>'DSCR (LP)'!D25</f>
        <v>99.3</v>
      </c>
      <c r="H96" s="143">
        <v>15</v>
      </c>
      <c r="I96" s="150">
        <f t="shared" si="0"/>
        <v>7.625</v>
      </c>
      <c r="J96" s="151"/>
      <c r="K96" s="151"/>
      <c r="L96" s="152" t="e">
        <f t="shared" si="2"/>
        <v>#N/A</v>
      </c>
      <c r="M96" s="152" t="e">
        <f t="shared" si="3"/>
        <v>#N/A</v>
      </c>
      <c r="N96" s="368">
        <v>7.625</v>
      </c>
      <c r="Y96" s="366" t="s">
        <v>272</v>
      </c>
      <c r="Z96" s="366"/>
      <c r="AA96" s="366" t="s">
        <v>352</v>
      </c>
      <c r="AG96" t="s">
        <v>789</v>
      </c>
      <c r="AH96" s="153" t="str" cm="1">
        <f t="array" ref="AH96">IF(AND(OR('DSCR (LP)'!$S$12=$A$7),'DSCR (LP)'!$S$24='Feed(DSCR)'!$K$10,OR('DSCR (LP)'!$S$20=$G$8:$G$12),OR('DSCR (LP)'!$S$11='Feed(DSCR)'!$B$7:$B$11),OR('DSCR (LP)'!$S$21=$J$3)),NA(),"")</f>
        <v/>
      </c>
      <c r="AI96" s="92" t="s">
        <v>802</v>
      </c>
      <c r="AK96"/>
      <c r="AL96"/>
      <c r="AM96"/>
      <c r="AN96"/>
      <c r="AO96"/>
      <c r="AP96"/>
      <c r="AQ96"/>
      <c r="AR96"/>
      <c r="AS96"/>
      <c r="AT96"/>
      <c r="AU96"/>
      <c r="AV96"/>
    </row>
    <row r="97" spans="2:48" x14ac:dyDescent="0.25">
      <c r="B97" s="147">
        <f>'DSCR (LP)'!B26</f>
        <v>7.75</v>
      </c>
      <c r="C97" s="148"/>
      <c r="D97" s="148"/>
      <c r="E97" s="149">
        <f>'DSCR (LP)'!C26</f>
        <v>103.62150000000005</v>
      </c>
      <c r="F97" s="149">
        <f>'DSCR (LP)'!D26</f>
        <v>99.55</v>
      </c>
      <c r="G97" s="142"/>
      <c r="H97" s="143">
        <v>16</v>
      </c>
      <c r="I97" s="150">
        <f t="shared" si="0"/>
        <v>7.75</v>
      </c>
      <c r="J97" s="151"/>
      <c r="K97" s="151"/>
      <c r="L97" s="152" t="e">
        <f t="shared" si="2"/>
        <v>#N/A</v>
      </c>
      <c r="M97" s="152" t="e">
        <f t="shared" si="3"/>
        <v>#N/A</v>
      </c>
      <c r="N97" s="368">
        <v>7.75</v>
      </c>
      <c r="Y97" s="366" t="s">
        <v>272</v>
      </c>
      <c r="Z97" s="371"/>
      <c r="AA97" s="366" t="s">
        <v>360</v>
      </c>
      <c r="AG97" s="92" t="s">
        <v>790</v>
      </c>
      <c r="AH97" s="153" t="str" cm="1">
        <f t="array" ref="AH97">IF(AND(OR('DSCR (LP)'!$S$12=$A$8),'DSCR (LP)'!$S$24='Feed(DSCR)'!$K$10,OR('DSCR (LP)'!$S$20=$G$8:$G$12),OR('DSCR (LP)'!$S$11=$B$3:$B$11),OR('DSCR (LP)'!$S$21=$J$3)),NA(),"")</f>
        <v/>
      </c>
      <c r="AI97" s="92" t="s">
        <v>803</v>
      </c>
      <c r="AK97"/>
      <c r="AL97"/>
      <c r="AM97"/>
      <c r="AN97"/>
      <c r="AO97"/>
      <c r="AP97"/>
      <c r="AQ97"/>
      <c r="AR97"/>
      <c r="AS97"/>
      <c r="AT97"/>
      <c r="AU97"/>
      <c r="AV97"/>
    </row>
    <row r="98" spans="2:48" x14ac:dyDescent="0.25">
      <c r="B98" s="147">
        <f>'DSCR (LP)'!B27</f>
        <v>7.875</v>
      </c>
      <c r="C98" s="148"/>
      <c r="D98" s="148"/>
      <c r="E98" s="149">
        <f>'DSCR (LP)'!C27</f>
        <v>103.90350000000007</v>
      </c>
      <c r="F98" s="149">
        <f>'DSCR (LP)'!D27</f>
        <v>99.8</v>
      </c>
      <c r="G98" s="142"/>
      <c r="H98" s="143">
        <v>17</v>
      </c>
      <c r="I98" s="150">
        <f t="shared" si="0"/>
        <v>7.875</v>
      </c>
      <c r="J98" s="151"/>
      <c r="K98" s="151"/>
      <c r="L98" s="152" t="e">
        <f t="shared" si="2"/>
        <v>#N/A</v>
      </c>
      <c r="M98" s="152" t="e">
        <f t="shared" si="3"/>
        <v>#N/A</v>
      </c>
      <c r="N98" s="368">
        <v>7.875</v>
      </c>
      <c r="Y98" s="366" t="s">
        <v>272</v>
      </c>
      <c r="Z98" s="371"/>
      <c r="AA98" s="366" t="s">
        <v>632</v>
      </c>
      <c r="AG98" s="619" t="s">
        <v>782</v>
      </c>
      <c r="AH98" s="153" t="str" cm="1">
        <f t="array" ref="AH98">IF(AND(OR('DSCR (LP)'!$S$12=$A$3:$A$6),'DSCR (LP)'!$S$24='Feed(DSCR)'!$K$10,OR('DSCR (LP)'!$S$20=$G$8:$G$12),OR('DSCR (LP)'!$S$11=$B$6:$B$11),OR('DSCR (LP)'!$S$21='Feed(DSCR)'!$J$3)),NA(),"")</f>
        <v/>
      </c>
      <c r="AI98" s="130" t="s">
        <v>804</v>
      </c>
      <c r="AK98"/>
      <c r="AL98"/>
      <c r="AM98"/>
      <c r="AN98"/>
      <c r="AO98"/>
      <c r="AP98"/>
      <c r="AQ98"/>
      <c r="AR98"/>
      <c r="AS98"/>
      <c r="AT98"/>
      <c r="AU98"/>
      <c r="AV98"/>
    </row>
    <row r="99" spans="2:48" x14ac:dyDescent="0.25">
      <c r="B99" s="147">
        <f>'DSCR (LP)'!B28</f>
        <v>7.9989999999999997</v>
      </c>
      <c r="C99" s="148"/>
      <c r="D99" s="148"/>
      <c r="E99" s="149">
        <f>'DSCR (LP)'!C28</f>
        <v>104.18450000000006</v>
      </c>
      <c r="F99" s="149">
        <f>'DSCR (LP)'!D28</f>
        <v>100.3</v>
      </c>
      <c r="H99" s="143">
        <v>18</v>
      </c>
      <c r="I99" s="155">
        <f t="shared" si="0"/>
        <v>7.9989999999999997</v>
      </c>
      <c r="J99" s="156"/>
      <c r="K99" s="156"/>
      <c r="L99" s="157" t="e">
        <f t="shared" si="2"/>
        <v>#N/A</v>
      </c>
      <c r="M99" s="157" t="e">
        <f t="shared" si="3"/>
        <v>#N/A</v>
      </c>
      <c r="N99" s="368">
        <v>7.9989999999999997</v>
      </c>
      <c r="Y99" s="366" t="s">
        <v>272</v>
      </c>
      <c r="Z99" s="371"/>
      <c r="AA99" s="366" t="s">
        <v>383</v>
      </c>
      <c r="AG99" s="619" t="s">
        <v>783</v>
      </c>
      <c r="AH99" s="153" t="str" cm="1">
        <f t="array" ref="AH99">IF(AND(OR('DSCR (LP)'!$S$12=$A$7),'DSCR (LP)'!$S$24='Feed(DSCR)'!$K$10,OR('DSCR (LP)'!$S$20=$G$8:$G$12),OR('DSCR (LP)'!$S$11=$B$6:$B$11),OR('DSCR (LP)'!$S$21=$J$4)),NA(),"")</f>
        <v/>
      </c>
      <c r="AI99" s="130" t="s">
        <v>805</v>
      </c>
      <c r="AK99"/>
      <c r="AL99"/>
      <c r="AM99"/>
      <c r="AN99"/>
      <c r="AO99"/>
      <c r="AP99"/>
      <c r="AQ99"/>
      <c r="AR99"/>
      <c r="AS99"/>
      <c r="AT99"/>
      <c r="AU99"/>
      <c r="AV99"/>
    </row>
    <row r="100" spans="2:48" x14ac:dyDescent="0.25">
      <c r="B100" s="147">
        <f>'DSCR (LP)'!B29</f>
        <v>8.125</v>
      </c>
      <c r="C100" s="148"/>
      <c r="D100" s="148"/>
      <c r="E100" s="149">
        <f>'DSCR (LP)'!C29</f>
        <v>104.46550000000006</v>
      </c>
      <c r="F100" s="149">
        <f>'DSCR (LP)'!D29</f>
        <v>100.55</v>
      </c>
      <c r="H100" s="143">
        <v>19</v>
      </c>
      <c r="I100" s="155">
        <f t="shared" si="0"/>
        <v>8.125</v>
      </c>
      <c r="J100" s="156"/>
      <c r="K100" s="156"/>
      <c r="L100" s="157" t="e">
        <f t="shared" si="2"/>
        <v>#N/A</v>
      </c>
      <c r="M100" s="157" t="e">
        <f t="shared" si="3"/>
        <v>#N/A</v>
      </c>
      <c r="N100" s="368">
        <v>8.125</v>
      </c>
      <c r="Y100" s="366" t="s">
        <v>272</v>
      </c>
      <c r="Z100" s="371"/>
      <c r="AA100" s="366" t="s">
        <v>393</v>
      </c>
      <c r="AG100" s="130" t="s">
        <v>784</v>
      </c>
      <c r="AH100" s="153" t="str" cm="1">
        <f t="array" ref="AH100">IF(AND(OR('DSCR (LP)'!$S$12=$A$8),'DSCR (LP)'!$S$24='Feed(DSCR)'!$K$10,OR('DSCR (LP)'!$S$20=$G$8:$G$12),OR('DSCR (LP)'!$S$11=$B$3:$B$11),OR('DSCR (LP)'!$S$21=$J$4)),NA(),"")</f>
        <v/>
      </c>
      <c r="AI100" s="130" t="s">
        <v>806</v>
      </c>
      <c r="AK100"/>
      <c r="AL100"/>
      <c r="AM100"/>
      <c r="AN100"/>
      <c r="AO100"/>
      <c r="AP100"/>
      <c r="AQ100"/>
      <c r="AR100"/>
      <c r="AS100"/>
      <c r="AT100"/>
      <c r="AU100"/>
      <c r="AV100"/>
    </row>
    <row r="101" spans="2:48" x14ac:dyDescent="0.25">
      <c r="B101" s="147">
        <f>'DSCR (LP)'!B30</f>
        <v>8.25</v>
      </c>
      <c r="C101" s="148"/>
      <c r="D101" s="148"/>
      <c r="E101" s="149">
        <f>'DSCR (LP)'!C30</f>
        <v>104.74650000000005</v>
      </c>
      <c r="F101" s="149">
        <f>'DSCR (LP)'!D30</f>
        <v>100.8</v>
      </c>
      <c r="H101" s="143">
        <v>20</v>
      </c>
      <c r="I101" s="150">
        <f t="shared" si="0"/>
        <v>8.25</v>
      </c>
      <c r="J101" s="151"/>
      <c r="K101" s="151"/>
      <c r="L101" s="152" t="e">
        <f t="shared" si="2"/>
        <v>#N/A</v>
      </c>
      <c r="M101" s="152" t="e">
        <f t="shared" si="3"/>
        <v>#N/A</v>
      </c>
      <c r="N101" s="368">
        <v>8.25</v>
      </c>
      <c r="Y101" s="366" t="s">
        <v>272</v>
      </c>
      <c r="Z101" s="371"/>
      <c r="AA101" s="366" t="s">
        <v>404</v>
      </c>
      <c r="AG101" t="s">
        <v>791</v>
      </c>
      <c r="AH101" s="153" t="str" cm="1">
        <f t="array" ref="AH101">IF(AND(OR('DSCR (LP)'!$S$12=$A$3:$A$6),'DSCR (LP)'!$S$24='Feed(DSCR)'!$K$10,OR('DSCR (LP)'!$S$20=$G$8:$G$12),OR('DSCR (LP)'!$S$11=$B$6:$B$11),OR('DSCR (LP)'!$S$21=$J$5)),NA(),"")</f>
        <v/>
      </c>
      <c r="AI101" s="92" t="s">
        <v>807</v>
      </c>
      <c r="AK101"/>
      <c r="AL101"/>
      <c r="AM101"/>
      <c r="AN101"/>
      <c r="AO101"/>
      <c r="AP101"/>
      <c r="AQ101"/>
      <c r="AR101"/>
      <c r="AS101"/>
      <c r="AT101"/>
      <c r="AU101"/>
      <c r="AV101"/>
    </row>
    <row r="102" spans="2:48" x14ac:dyDescent="0.25">
      <c r="B102" s="147">
        <f>'DSCR (LP)'!B31</f>
        <v>8.375</v>
      </c>
      <c r="C102" s="148"/>
      <c r="D102" s="148"/>
      <c r="E102" s="149">
        <f>'DSCR (LP)'!C31</f>
        <v>105.02850000000007</v>
      </c>
      <c r="F102" s="149">
        <f>'DSCR (LP)'!D31</f>
        <v>101.05</v>
      </c>
      <c r="H102" s="143">
        <v>21</v>
      </c>
      <c r="I102" s="150">
        <f t="shared" si="0"/>
        <v>8.375</v>
      </c>
      <c r="J102" s="151"/>
      <c r="K102" s="151"/>
      <c r="L102" s="152" t="e">
        <f t="shared" si="2"/>
        <v>#N/A</v>
      </c>
      <c r="M102" s="152" t="e">
        <f t="shared" si="3"/>
        <v>#N/A</v>
      </c>
      <c r="N102" s="368">
        <v>8.375</v>
      </c>
      <c r="Y102" s="366" t="s">
        <v>272</v>
      </c>
      <c r="Z102" s="371"/>
      <c r="AA102" s="366" t="s">
        <v>414</v>
      </c>
      <c r="AG102" t="s">
        <v>792</v>
      </c>
      <c r="AH102" s="153" t="str" cm="1">
        <f t="array" ref="AH102">IF(AND(OR('DSCR (LP)'!$S$12=$A$7),'DSCR (LP)'!$S$24='Feed(DSCR)'!$K$10,OR('DSCR (LP)'!$S$20=$G$8:$G$12),OR('DSCR (LP)'!$S$11=$B$6:$B$11),OR('DSCR (LP)'!$S$21=$J$5)),NA(),"")</f>
        <v/>
      </c>
      <c r="AI102" s="92" t="s">
        <v>808</v>
      </c>
      <c r="AK102"/>
      <c r="AL102"/>
      <c r="AM102"/>
      <c r="AN102"/>
      <c r="AO102"/>
      <c r="AP102"/>
      <c r="AQ102"/>
      <c r="AR102"/>
      <c r="AS102"/>
      <c r="AT102"/>
      <c r="AU102"/>
      <c r="AV102"/>
    </row>
    <row r="103" spans="2:48" x14ac:dyDescent="0.25">
      <c r="B103" s="147">
        <f>'DSCR (LP)'!B32</f>
        <v>8.4990000000000006</v>
      </c>
      <c r="C103" s="148"/>
      <c r="D103" s="148"/>
      <c r="E103" s="149">
        <f>'DSCR (LP)'!C32</f>
        <v>105.30950000000006</v>
      </c>
      <c r="F103" s="149">
        <f>'DSCR (LP)'!D32</f>
        <v>101.425</v>
      </c>
      <c r="H103" s="143">
        <v>22</v>
      </c>
      <c r="I103" s="150">
        <f t="shared" si="0"/>
        <v>8.4990000000000006</v>
      </c>
      <c r="J103" s="151"/>
      <c r="K103" s="151"/>
      <c r="L103" s="152" t="e">
        <f t="shared" si="2"/>
        <v>#N/A</v>
      </c>
      <c r="M103" s="152" t="e">
        <f t="shared" si="3"/>
        <v>#N/A</v>
      </c>
      <c r="N103" s="368">
        <v>8.4990000000000006</v>
      </c>
      <c r="Y103" s="366" t="s">
        <v>272</v>
      </c>
      <c r="Z103" s="371"/>
      <c r="AA103" s="366" t="s">
        <v>425</v>
      </c>
      <c r="AG103" s="92" t="s">
        <v>793</v>
      </c>
      <c r="AH103" s="153" t="str" cm="1">
        <f t="array" ref="AH103">IF(AND(OR('DSCR (LP)'!$S$12=$A$8),'DSCR (LP)'!$S$24='Feed(DSCR)'!$K$10,OR('DSCR (LP)'!$S$20=$G$8:$G$12),OR('DSCR (LP)'!$S$11=$B$3:$B$11),OR('DSCR (LP)'!$S$21=$J$5)),NA(),"")</f>
        <v/>
      </c>
      <c r="AI103" s="92" t="s">
        <v>809</v>
      </c>
      <c r="AK103"/>
      <c r="AL103"/>
      <c r="AM103"/>
      <c r="AN103"/>
      <c r="AO103"/>
      <c r="AP103"/>
      <c r="AQ103"/>
      <c r="AR103"/>
      <c r="AS103"/>
      <c r="AT103"/>
      <c r="AU103"/>
      <c r="AV103"/>
    </row>
    <row r="104" spans="2:48" x14ac:dyDescent="0.25">
      <c r="B104" s="147">
        <f>'DSCR (LP)'!B33</f>
        <v>8.625</v>
      </c>
      <c r="C104" s="148"/>
      <c r="D104" s="148"/>
      <c r="E104" s="149">
        <f>'DSCR (LP)'!C33</f>
        <v>105.55950000000006</v>
      </c>
      <c r="F104" s="149">
        <f>'DSCR (LP)'!D33</f>
        <v>101.8</v>
      </c>
      <c r="H104" s="143">
        <v>23</v>
      </c>
      <c r="I104" s="150">
        <f t="shared" si="0"/>
        <v>8.625</v>
      </c>
      <c r="J104" s="151"/>
      <c r="K104" s="151"/>
      <c r="L104" s="152" t="e">
        <f t="shared" si="2"/>
        <v>#N/A</v>
      </c>
      <c r="M104" s="152" t="e">
        <f t="shared" si="3"/>
        <v>#N/A</v>
      </c>
      <c r="N104" s="368">
        <v>8.625</v>
      </c>
      <c r="Y104" s="366" t="s">
        <v>272</v>
      </c>
      <c r="Z104" s="371"/>
      <c r="AA104" s="366" t="s">
        <v>433</v>
      </c>
      <c r="AG104" t="s">
        <v>794</v>
      </c>
      <c r="AH104" s="153" t="str" cm="1">
        <f t="array" ref="AH104">IF(AND(OR('DSCR (LP)'!$S$12=$A$3:$A$6),'DSCR (LP)'!$S$24='Feed(DSCR)'!$K$10,OR('DSCR (LP)'!$S$20=$G$9:$G$12),OR('DSCR (LP)'!$S$11=$B$6:$B$11),OR('DSCR (LP)'!$S$21=$J$3)),NA(),"")</f>
        <v/>
      </c>
      <c r="AI104" s="92" t="s">
        <v>810</v>
      </c>
      <c r="AK104"/>
      <c r="AL104"/>
      <c r="AM104"/>
      <c r="AN104"/>
      <c r="AO104"/>
      <c r="AP104"/>
      <c r="AQ104"/>
      <c r="AR104"/>
      <c r="AS104"/>
      <c r="AT104"/>
      <c r="AU104"/>
      <c r="AV104"/>
    </row>
    <row r="105" spans="2:48" x14ac:dyDescent="0.25">
      <c r="B105" s="147">
        <f>'DSCR (LP)'!B34</f>
        <v>8.75</v>
      </c>
      <c r="C105" s="148"/>
      <c r="D105" s="148"/>
      <c r="E105" s="149">
        <f>'DSCR (LP)'!C34</f>
        <v>105.80950000000006</v>
      </c>
      <c r="F105" s="149">
        <f>'DSCR (LP)'!D34</f>
        <v>102.05</v>
      </c>
      <c r="H105" s="143">
        <v>24</v>
      </c>
      <c r="I105" s="150">
        <f t="shared" si="0"/>
        <v>8.75</v>
      </c>
      <c r="J105" s="151"/>
      <c r="K105" s="151"/>
      <c r="L105" s="152" t="e">
        <f t="shared" si="2"/>
        <v>#N/A</v>
      </c>
      <c r="M105" s="152" t="e">
        <f t="shared" si="3"/>
        <v>#N/A</v>
      </c>
      <c r="N105" s="368">
        <v>8.75</v>
      </c>
      <c r="Y105" s="366" t="s">
        <v>272</v>
      </c>
      <c r="Z105" s="371"/>
      <c r="AA105" s="366" t="s">
        <v>441</v>
      </c>
      <c r="AG105" t="s">
        <v>795</v>
      </c>
      <c r="AH105" s="153" t="str" cm="1">
        <f t="array" ref="AH105">IF(AND(OR('DSCR (LP)'!$S$12=$A$7),'DSCR (LP)'!$S$24='Feed(DSCR)'!$K$10,OR('DSCR (LP)'!$S$20=$G$9:$G$12),OR('DSCR (LP)'!$S$11=$B$6:$B$11),OR('DSCR (LP)'!$S$21=$J$3)),NA(),"")</f>
        <v/>
      </c>
      <c r="AI105" s="92" t="s">
        <v>811</v>
      </c>
      <c r="AK105"/>
      <c r="AL105"/>
      <c r="AM105"/>
      <c r="AN105"/>
      <c r="AO105"/>
      <c r="AP105"/>
      <c r="AQ105"/>
      <c r="AR105"/>
      <c r="AS105"/>
      <c r="AT105"/>
      <c r="AU105"/>
      <c r="AV105"/>
    </row>
    <row r="106" spans="2:48" x14ac:dyDescent="0.25">
      <c r="B106" s="147">
        <f>'DSCR (LP)'!B35</f>
        <v>8.875</v>
      </c>
      <c r="C106" s="148"/>
      <c r="D106" s="148"/>
      <c r="E106" s="149">
        <f>'DSCR (LP)'!C35</f>
        <v>106.05950000000006</v>
      </c>
      <c r="F106" s="149">
        <f>'DSCR (LP)'!D35</f>
        <v>102.425</v>
      </c>
      <c r="H106" s="143">
        <v>25</v>
      </c>
      <c r="I106" s="150">
        <f t="shared" si="0"/>
        <v>8.875</v>
      </c>
      <c r="J106" s="151"/>
      <c r="K106" s="151"/>
      <c r="L106" s="152" t="e">
        <f t="shared" si="2"/>
        <v>#N/A</v>
      </c>
      <c r="M106" s="152" t="e">
        <f t="shared" si="3"/>
        <v>#N/A</v>
      </c>
      <c r="N106" s="368">
        <v>8.875</v>
      </c>
      <c r="Y106" s="366" t="s">
        <v>272</v>
      </c>
      <c r="Z106" s="371"/>
      <c r="AA106" s="366" t="s">
        <v>449</v>
      </c>
      <c r="AB106"/>
      <c r="AC106"/>
      <c r="AD106"/>
      <c r="AE106"/>
      <c r="AF106"/>
      <c r="AG106" s="92" t="s">
        <v>796</v>
      </c>
      <c r="AH106" s="153" t="str" cm="1">
        <f t="array" ref="AH106">IF(AND(OR('DSCR (LP)'!$S$12=$A$8),'DSCR (LP)'!$S$24='Feed(DSCR)'!$K$10,OR('DSCR (LP)'!$S$20=$G$7:$G$12),OR('DSCR (LP)'!$S$11=$B$3:$B$11),OR('DSCR (LP)'!$S$21=$J$3)),NA(),"")</f>
        <v/>
      </c>
      <c r="AI106" s="92" t="s">
        <v>812</v>
      </c>
      <c r="AJ106"/>
      <c r="AK106"/>
      <c r="AL106"/>
      <c r="AM106"/>
      <c r="AN106"/>
    </row>
    <row r="107" spans="2:48" x14ac:dyDescent="0.25">
      <c r="B107" s="147">
        <f>'DSCR (LP)'!B36</f>
        <v>8.9990000000000006</v>
      </c>
      <c r="C107" s="148"/>
      <c r="D107" s="148"/>
      <c r="E107" s="149">
        <f>'DSCR (LP)'!C36</f>
        <v>106.30950000000006</v>
      </c>
      <c r="F107" s="149">
        <f>'DSCR (LP)'!D36</f>
        <v>102.55</v>
      </c>
      <c r="H107" s="143">
        <v>26</v>
      </c>
      <c r="I107" s="150">
        <f t="shared" si="0"/>
        <v>8.9990000000000006</v>
      </c>
      <c r="J107" s="151"/>
      <c r="K107" s="151"/>
      <c r="L107" s="152" t="e">
        <f t="shared" si="2"/>
        <v>#N/A</v>
      </c>
      <c r="M107" s="152" t="e">
        <f t="shared" si="3"/>
        <v>#N/A</v>
      </c>
      <c r="N107" s="368">
        <v>8.9990000000000006</v>
      </c>
      <c r="Y107" s="366" t="s">
        <v>272</v>
      </c>
      <c r="Z107" s="366"/>
      <c r="AA107" s="366" t="s">
        <v>459</v>
      </c>
      <c r="AB107"/>
      <c r="AC107"/>
      <c r="AD107"/>
      <c r="AE107"/>
      <c r="AF107"/>
      <c r="AG107" s="619" t="s">
        <v>785</v>
      </c>
      <c r="AH107" s="153" t="str" cm="1">
        <f t="array" ref="AH107">IF(AND(OR('DSCR (LP)'!$S$12='Feed(DSCR)'!$A$3:$A$6),'DSCR (LP)'!$S$24='Feed(DSCR)'!$K$10,OR('DSCR (LP)'!$S$20=$G$9:$G$12),OR('DSCR (LP)'!$S$11=$B$5:$B$11),OR('DSCR (LP)'!$S$21=$J$4)),NA(),"")</f>
        <v/>
      </c>
      <c r="AI107" s="130" t="s">
        <v>813</v>
      </c>
      <c r="AJ107"/>
      <c r="AK107"/>
      <c r="AL107"/>
      <c r="AM107"/>
      <c r="AN107"/>
    </row>
    <row r="108" spans="2:48" x14ac:dyDescent="0.25">
      <c r="B108" s="147">
        <f>'DSCR (LP)'!B37</f>
        <v>9.125</v>
      </c>
      <c r="C108" s="148"/>
      <c r="D108" s="148"/>
      <c r="E108" s="149">
        <f>'DSCR (LP)'!C37</f>
        <v>106.55950000000006</v>
      </c>
      <c r="F108" s="149">
        <f>'DSCR (LP)'!D37</f>
        <v>102.925</v>
      </c>
      <c r="H108" s="143">
        <v>27</v>
      </c>
      <c r="I108" s="150">
        <f t="shared" si="0"/>
        <v>9.125</v>
      </c>
      <c r="J108" s="151"/>
      <c r="K108" s="151"/>
      <c r="L108" s="152" t="e">
        <f t="shared" si="2"/>
        <v>#N/A</v>
      </c>
      <c r="M108" s="152" t="e">
        <f t="shared" si="3"/>
        <v>#N/A</v>
      </c>
      <c r="N108" s="368">
        <v>9.125</v>
      </c>
      <c r="Y108" s="366" t="s">
        <v>272</v>
      </c>
      <c r="Z108" s="366"/>
      <c r="AA108" s="366" t="s">
        <v>468</v>
      </c>
      <c r="AB108"/>
      <c r="AC108"/>
      <c r="AD108"/>
      <c r="AE108"/>
      <c r="AF108"/>
      <c r="AG108" s="619" t="s">
        <v>786</v>
      </c>
      <c r="AH108" s="153" t="str" cm="1">
        <f t="array" ref="AH108">IF(AND(OR('DSCR (LP)'!$S$12=$A$7),'DSCR (LP)'!$S$24='Feed(DSCR)'!$K$10,OR('DSCR (LP)'!$S$20=$G$9:$G$12),OR('DSCR (LP)'!$S$11=$B$5:$B$11),OR('DSCR (LP)'!$S$21=$J$4)),NA(),"")</f>
        <v/>
      </c>
      <c r="AI108" s="130" t="s">
        <v>814</v>
      </c>
      <c r="AJ108"/>
      <c r="AK108"/>
      <c r="AL108"/>
      <c r="AM108"/>
      <c r="AN108"/>
    </row>
    <row r="109" spans="2:48" x14ac:dyDescent="0.25">
      <c r="B109" s="147">
        <f>'DSCR (LP)'!B38</f>
        <v>9.25</v>
      </c>
      <c r="C109" s="148"/>
      <c r="D109" s="148"/>
      <c r="E109" s="149">
        <f>'DSCR (LP)'!C38</f>
        <v>106.68450000000006</v>
      </c>
      <c r="F109" s="149">
        <f>'DSCR (LP)'!D38</f>
        <v>103.175</v>
      </c>
      <c r="H109" s="143">
        <v>28</v>
      </c>
      <c r="I109" s="150">
        <f t="shared" si="0"/>
        <v>9.25</v>
      </c>
      <c r="J109" s="151"/>
      <c r="K109" s="151"/>
      <c r="L109" s="152" t="e">
        <f t="shared" si="2"/>
        <v>#N/A</v>
      </c>
      <c r="M109" s="152" t="e">
        <f t="shared" si="3"/>
        <v>#N/A</v>
      </c>
      <c r="N109" s="368">
        <v>9.25</v>
      </c>
      <c r="Y109" s="366" t="s">
        <v>272</v>
      </c>
      <c r="Z109" s="366"/>
      <c r="AA109" s="366" t="s">
        <v>477</v>
      </c>
      <c r="AB109"/>
      <c r="AC109"/>
      <c r="AD109"/>
      <c r="AE109"/>
      <c r="AF109"/>
      <c r="AG109" s="130" t="s">
        <v>787</v>
      </c>
      <c r="AH109" s="153" t="str" cm="1">
        <f t="array" ref="AH109">IF(AND(OR('DSCR (LP)'!$S$12=$A$8),'DSCR (LP)'!$S$24='Feed(DSCR)'!$K$10,OR('DSCR (LP)'!$S$20=$G$9:$G$12),OR('DSCR (LP)'!$S$11=$B$3:$B$11),OR('DSCR (LP)'!$S$21=$J$4)),NA(),"")</f>
        <v/>
      </c>
      <c r="AI109" s="130" t="s">
        <v>815</v>
      </c>
      <c r="AJ109"/>
      <c r="AK109"/>
      <c r="AL109"/>
      <c r="AM109"/>
      <c r="AN109"/>
    </row>
    <row r="110" spans="2:48" x14ac:dyDescent="0.25">
      <c r="B110" s="147">
        <f>'DSCR (LP)'!B39</f>
        <v>9.375</v>
      </c>
      <c r="C110" s="148"/>
      <c r="D110" s="148"/>
      <c r="E110" s="149">
        <f>'DSCR (LP)'!C39</f>
        <v>106.80950000000006</v>
      </c>
      <c r="F110" s="149">
        <f>'DSCR (LP)'!D39</f>
        <v>103.55</v>
      </c>
      <c r="H110" s="143">
        <v>29</v>
      </c>
      <c r="I110" s="150">
        <f t="shared" si="0"/>
        <v>9.375</v>
      </c>
      <c r="J110" s="151"/>
      <c r="K110" s="151"/>
      <c r="L110" s="152" t="e">
        <f t="shared" si="2"/>
        <v>#N/A</v>
      </c>
      <c r="M110" s="152" t="e">
        <f t="shared" si="3"/>
        <v>#N/A</v>
      </c>
      <c r="N110" s="368">
        <v>9.375</v>
      </c>
      <c r="Y110" s="366" t="s">
        <v>272</v>
      </c>
      <c r="Z110" s="366"/>
      <c r="AA110" s="366" t="s">
        <v>485</v>
      </c>
      <c r="AB110"/>
      <c r="AC110"/>
      <c r="AD110"/>
      <c r="AE110"/>
      <c r="AF110"/>
      <c r="AG110" t="s">
        <v>797</v>
      </c>
      <c r="AH110" s="153" t="str" cm="1">
        <f t="array" ref="AH110">IF(AND(OR('DSCR (LP)'!$S$12='Feed(DSCR)'!$A$3:$A$6),'DSCR (LP)'!$S$24='Feed(DSCR)'!$K$10,OR('DSCR (LP)'!$S$20=$G$9:$G$12),OR('DSCR (LP)'!$S$11=$B$3:$B$11),OR('DSCR (LP)'!$S$21=$J$5)),NA(),"")</f>
        <v/>
      </c>
      <c r="AI110" s="92" t="s">
        <v>816</v>
      </c>
      <c r="AJ110"/>
      <c r="AK110"/>
      <c r="AL110"/>
      <c r="AM110"/>
      <c r="AN110"/>
    </row>
    <row r="111" spans="2:48" x14ac:dyDescent="0.25">
      <c r="B111" s="147">
        <f>'DSCR (LP)'!B40</f>
        <v>9.4990000000000006</v>
      </c>
      <c r="C111" s="148"/>
      <c r="D111" s="148"/>
      <c r="E111" s="149">
        <f>'DSCR (LP)'!C40</f>
        <v>106.93450000000006</v>
      </c>
      <c r="F111" s="149">
        <f>'DSCR (LP)'!D40</f>
        <v>103.925</v>
      </c>
      <c r="H111" s="143">
        <v>30</v>
      </c>
      <c r="I111" s="150">
        <f t="shared" si="0"/>
        <v>9.4990000000000006</v>
      </c>
      <c r="J111" s="151"/>
      <c r="K111" s="151"/>
      <c r="L111" s="152" t="e">
        <f t="shared" si="2"/>
        <v>#N/A</v>
      </c>
      <c r="M111" s="152" t="e">
        <f t="shared" si="3"/>
        <v>#N/A</v>
      </c>
      <c r="N111" s="368">
        <v>9.4990000000000006</v>
      </c>
      <c r="Y111" s="366" t="s">
        <v>272</v>
      </c>
      <c r="Z111" s="371"/>
      <c r="AA111" s="366" t="s">
        <v>495</v>
      </c>
      <c r="AB111"/>
      <c r="AC111"/>
      <c r="AD111"/>
      <c r="AE111"/>
      <c r="AF111"/>
      <c r="AG111" t="s">
        <v>798</v>
      </c>
      <c r="AH111" s="153" t="str" cm="1">
        <f t="array" ref="AH111">IF(AND(OR('DSCR (LP)'!$S$12=$A$7),'DSCR (LP)'!$S$24='Feed(DSCR)'!$K$10,OR('DSCR (LP)'!$S$20=$G$9:$G$12),OR('DSCR (LP)'!$S$11=$B$3:$B$11),OR('DSCR (LP)'!$S$21=$J$5)),NA(),"")</f>
        <v/>
      </c>
      <c r="AI111" s="92" t="s">
        <v>817</v>
      </c>
      <c r="AJ111"/>
      <c r="AK111"/>
      <c r="AL111"/>
      <c r="AM111"/>
      <c r="AN111"/>
    </row>
    <row r="112" spans="2:48" x14ac:dyDescent="0.25">
      <c r="B112" s="147">
        <f>'DSCR (LP)'!B41</f>
        <v>9.625</v>
      </c>
      <c r="C112" s="148"/>
      <c r="D112" s="148"/>
      <c r="E112" s="149">
        <f>'DSCR (LP)'!C41</f>
        <v>107.05950000000006</v>
      </c>
      <c r="F112" s="149">
        <f>'DSCR (LP)'!D41</f>
        <v>104.175</v>
      </c>
      <c r="H112" s="143">
        <v>31</v>
      </c>
      <c r="I112" s="150">
        <f t="shared" si="0"/>
        <v>9.625</v>
      </c>
      <c r="J112" s="151"/>
      <c r="K112" s="151"/>
      <c r="L112" s="152" t="e">
        <f t="shared" si="2"/>
        <v>#N/A</v>
      </c>
      <c r="M112" s="152" t="e">
        <f t="shared" si="3"/>
        <v>#N/A</v>
      </c>
      <c r="N112" s="368">
        <v>9.625</v>
      </c>
      <c r="Y112" s="366" t="s">
        <v>272</v>
      </c>
      <c r="Z112" s="371"/>
      <c r="AA112" s="366" t="s">
        <v>503</v>
      </c>
      <c r="AB112"/>
      <c r="AC112"/>
      <c r="AD112"/>
      <c r="AE112"/>
      <c r="AF112"/>
      <c r="AG112" s="92" t="s">
        <v>799</v>
      </c>
      <c r="AH112" s="153" t="str" cm="1">
        <f t="array" ref="AH112">IF(AND(OR('DSCR (LP)'!$S$12=$A$8),'DSCR (LP)'!$S$24='Feed(DSCR)'!$K$10,OR('DSCR (LP)'!$S$20=$G$9:$G$12),OR('DSCR (LP)'!$S$11=$B$3:$B$11),OR('DSCR (LP)'!$S$21=$J$5)),NA(),"")</f>
        <v/>
      </c>
      <c r="AI112" s="92" t="s">
        <v>818</v>
      </c>
      <c r="AJ112"/>
      <c r="AK112"/>
      <c r="AL112"/>
      <c r="AM112"/>
      <c r="AN112"/>
    </row>
    <row r="113" spans="2:40" x14ac:dyDescent="0.25">
      <c r="B113" s="147">
        <f>'DSCR (LP)'!B42</f>
        <v>9.75</v>
      </c>
      <c r="C113" s="148"/>
      <c r="D113" s="148"/>
      <c r="E113" s="149">
        <f>'DSCR (LP)'!C42</f>
        <v>107.18450000000006</v>
      </c>
      <c r="F113" s="149">
        <f>'DSCR (LP)'!D42</f>
        <v>104.425</v>
      </c>
      <c r="H113" s="143">
        <v>32</v>
      </c>
      <c r="I113" s="150">
        <f t="shared" si="0"/>
        <v>9.75</v>
      </c>
      <c r="J113" s="151"/>
      <c r="K113" s="151"/>
      <c r="L113" s="152" t="e">
        <f t="shared" si="2"/>
        <v>#N/A</v>
      </c>
      <c r="M113" s="152" t="e">
        <f t="shared" si="3"/>
        <v>#N/A</v>
      </c>
      <c r="N113" s="368">
        <v>9.75</v>
      </c>
      <c r="Y113" s="366" t="s">
        <v>272</v>
      </c>
      <c r="Z113" s="371"/>
      <c r="AA113" s="366" t="s">
        <v>511</v>
      </c>
      <c r="AB113"/>
      <c r="AC113"/>
      <c r="AD113"/>
      <c r="AE113"/>
      <c r="AF113"/>
      <c r="AG113"/>
      <c r="AH113"/>
      <c r="AI113"/>
      <c r="AJ113"/>
      <c r="AK113"/>
      <c r="AL113"/>
      <c r="AM113"/>
      <c r="AN113"/>
    </row>
    <row r="114" spans="2:40" x14ac:dyDescent="0.25">
      <c r="B114" s="147">
        <f>'DSCR (LP)'!B43</f>
        <v>9.875</v>
      </c>
      <c r="C114" s="148"/>
      <c r="D114" s="148"/>
      <c r="E114" s="149">
        <f>'DSCR (LP)'!C43</f>
        <v>107.30950000000006</v>
      </c>
      <c r="F114" s="149">
        <f>'DSCR (LP)'!D43</f>
        <v>104.675</v>
      </c>
      <c r="H114" s="143">
        <v>33</v>
      </c>
      <c r="I114" s="150">
        <f t="shared" si="0"/>
        <v>9.875</v>
      </c>
      <c r="J114" s="151"/>
      <c r="K114" s="151"/>
      <c r="L114" s="152" t="e">
        <f t="shared" si="2"/>
        <v>#N/A</v>
      </c>
      <c r="M114" s="152" t="e">
        <f t="shared" si="3"/>
        <v>#N/A</v>
      </c>
      <c r="N114" s="368">
        <v>9.875</v>
      </c>
      <c r="Y114" s="366" t="s">
        <v>272</v>
      </c>
      <c r="Z114" s="371"/>
      <c r="AA114" s="366" t="s">
        <v>520</v>
      </c>
      <c r="AB114"/>
      <c r="AC114"/>
      <c r="AD114"/>
      <c r="AE114"/>
      <c r="AF114"/>
      <c r="AG114"/>
      <c r="AH114"/>
      <c r="AI114"/>
      <c r="AJ114"/>
      <c r="AK114"/>
      <c r="AL114"/>
      <c r="AM114"/>
      <c r="AN114"/>
    </row>
    <row r="115" spans="2:40" x14ac:dyDescent="0.25">
      <c r="B115" s="147">
        <f>'DSCR (LP)'!B44</f>
        <v>9.9990000000000006</v>
      </c>
      <c r="C115" s="148"/>
      <c r="D115" s="148"/>
      <c r="E115" s="149">
        <f>'DSCR (LP)'!C44</f>
        <v>107.43450000000006</v>
      </c>
      <c r="F115" s="149">
        <f>'DSCR (LP)'!D44</f>
        <v>104.925</v>
      </c>
      <c r="H115" s="143">
        <v>34</v>
      </c>
      <c r="I115" s="150">
        <f t="shared" si="0"/>
        <v>9.9990000000000006</v>
      </c>
      <c r="J115" s="151"/>
      <c r="K115" s="151"/>
      <c r="L115" s="152" t="e">
        <f t="shared" si="2"/>
        <v>#N/A</v>
      </c>
      <c r="M115" s="152" t="e">
        <f t="shared" si="3"/>
        <v>#N/A</v>
      </c>
      <c r="N115" s="368">
        <v>9.9990000000000006</v>
      </c>
      <c r="Y115" s="366" t="s">
        <v>272</v>
      </c>
      <c r="Z115" s="371"/>
      <c r="AA115" s="366" t="s">
        <v>528</v>
      </c>
      <c r="AB115"/>
      <c r="AC115"/>
      <c r="AD115"/>
      <c r="AE115"/>
      <c r="AF115"/>
      <c r="AG115"/>
      <c r="AH115"/>
      <c r="AI115"/>
      <c r="AJ115"/>
      <c r="AK115"/>
      <c r="AL115"/>
      <c r="AM115"/>
      <c r="AN115"/>
    </row>
    <row r="116" spans="2:40" x14ac:dyDescent="0.25">
      <c r="B116" s="147">
        <f>'DSCR (LP)'!B45</f>
        <v>10.125</v>
      </c>
      <c r="C116" s="148"/>
      <c r="D116" s="148"/>
      <c r="E116" s="149">
        <f>'DSCR (LP)'!C45</f>
        <v>107.55950000000006</v>
      </c>
      <c r="F116" s="149">
        <f>'DSCR (LP)'!D45</f>
        <v>105.175</v>
      </c>
      <c r="H116" s="143">
        <v>35</v>
      </c>
      <c r="I116" s="150">
        <f t="shared" si="0"/>
        <v>10.125</v>
      </c>
      <c r="J116" s="151"/>
      <c r="K116" s="151"/>
      <c r="L116" s="152" t="e">
        <f t="shared" si="2"/>
        <v>#N/A</v>
      </c>
      <c r="M116" s="152" t="e">
        <f t="shared" si="3"/>
        <v>#N/A</v>
      </c>
      <c r="N116" s="368">
        <v>10.125</v>
      </c>
      <c r="Y116" s="366" t="s">
        <v>272</v>
      </c>
      <c r="Z116" s="371"/>
      <c r="AA116" s="366" t="s">
        <v>537</v>
      </c>
      <c r="AB116"/>
      <c r="AC116"/>
      <c r="AD116"/>
      <c r="AE116"/>
      <c r="AF116"/>
      <c r="AG116"/>
      <c r="AH116"/>
      <c r="AI116"/>
      <c r="AJ116"/>
      <c r="AK116"/>
      <c r="AL116"/>
      <c r="AM116"/>
      <c r="AN116"/>
    </row>
    <row r="117" spans="2:40" x14ac:dyDescent="0.25">
      <c r="B117" s="147">
        <f>'DSCR (LP)'!B46</f>
        <v>10.25</v>
      </c>
      <c r="C117" s="148"/>
      <c r="D117" s="148"/>
      <c r="E117" s="149">
        <f>'DSCR (LP)'!C46</f>
        <v>107.68450000000006</v>
      </c>
      <c r="F117" s="149">
        <f>'DSCR (LP)'!D46</f>
        <v>105.425</v>
      </c>
      <c r="H117" s="143">
        <v>36</v>
      </c>
      <c r="I117" s="150">
        <f t="shared" si="0"/>
        <v>10.25</v>
      </c>
      <c r="J117" s="151"/>
      <c r="K117" s="151"/>
      <c r="L117" s="152" t="e">
        <f t="shared" si="2"/>
        <v>#N/A</v>
      </c>
      <c r="M117" s="152" t="e">
        <f t="shared" si="3"/>
        <v>#N/A</v>
      </c>
      <c r="N117" s="368">
        <v>10.25</v>
      </c>
      <c r="Y117" s="366" t="s">
        <v>272</v>
      </c>
      <c r="Z117" s="371"/>
      <c r="AA117" s="366" t="s">
        <v>545</v>
      </c>
      <c r="AB117"/>
      <c r="AC117"/>
      <c r="AD117"/>
      <c r="AE117"/>
      <c r="AF117"/>
      <c r="AG117"/>
      <c r="AH117"/>
      <c r="AI117"/>
      <c r="AJ117"/>
      <c r="AK117"/>
      <c r="AL117"/>
      <c r="AM117"/>
      <c r="AN117"/>
    </row>
    <row r="118" spans="2:40" x14ac:dyDescent="0.25">
      <c r="B118" s="147">
        <f>'DSCR (LP)'!B47</f>
        <v>10.375</v>
      </c>
      <c r="C118" s="148"/>
      <c r="D118" s="148"/>
      <c r="E118" s="149">
        <f>'DSCR (LP)'!C47</f>
        <v>107.80950000000006</v>
      </c>
      <c r="F118" s="149">
        <f>'DSCR (LP)'!D47</f>
        <v>105.675</v>
      </c>
      <c r="H118" s="143">
        <v>37</v>
      </c>
      <c r="I118" s="150">
        <f t="shared" si="0"/>
        <v>10.375</v>
      </c>
      <c r="J118" s="151"/>
      <c r="K118" s="151"/>
      <c r="L118" s="152" t="e">
        <f t="shared" si="2"/>
        <v>#N/A</v>
      </c>
      <c r="M118" s="152" t="e">
        <f t="shared" si="3"/>
        <v>#N/A</v>
      </c>
      <c r="N118" s="368">
        <v>10.375</v>
      </c>
      <c r="Y118" s="366" t="s">
        <v>272</v>
      </c>
      <c r="Z118" s="371"/>
      <c r="AA118" s="366" t="s">
        <v>553</v>
      </c>
      <c r="AB118"/>
      <c r="AC118"/>
      <c r="AD118"/>
      <c r="AE118"/>
      <c r="AF118"/>
      <c r="AG118"/>
      <c r="AH118"/>
      <c r="AI118"/>
      <c r="AJ118"/>
      <c r="AK118"/>
      <c r="AL118"/>
      <c r="AM118"/>
      <c r="AN118"/>
    </row>
    <row r="119" spans="2:40" x14ac:dyDescent="0.25">
      <c r="B119" s="147">
        <f>'DSCR (LP)'!B48</f>
        <v>10.499000000000001</v>
      </c>
      <c r="C119" s="148"/>
      <c r="D119" s="148"/>
      <c r="E119" s="149">
        <f>'DSCR (LP)'!C48</f>
        <v>107.93450000000006</v>
      </c>
      <c r="F119" s="149">
        <f>'DSCR (LP)'!D48</f>
        <v>105.925</v>
      </c>
      <c r="H119" s="143">
        <v>38</v>
      </c>
      <c r="I119" s="150">
        <f t="shared" si="0"/>
        <v>10.499000000000001</v>
      </c>
      <c r="J119" s="151"/>
      <c r="K119" s="151"/>
      <c r="L119" s="152" t="e">
        <f t="shared" si="2"/>
        <v>#N/A</v>
      </c>
      <c r="M119" s="152" t="e">
        <f t="shared" si="3"/>
        <v>#N/A</v>
      </c>
      <c r="N119" s="368">
        <v>10.499000000000001</v>
      </c>
      <c r="P119" s="142"/>
      <c r="Y119" s="366" t="s">
        <v>272</v>
      </c>
      <c r="Z119" s="371"/>
      <c r="AA119" s="366" t="s">
        <v>561</v>
      </c>
      <c r="AB119"/>
      <c r="AC119"/>
      <c r="AD119"/>
      <c r="AE119"/>
      <c r="AF119"/>
      <c r="AG119"/>
      <c r="AH119"/>
      <c r="AI119"/>
      <c r="AJ119"/>
      <c r="AK119"/>
      <c r="AL119"/>
      <c r="AM119"/>
      <c r="AN119"/>
    </row>
    <row r="120" spans="2:40" x14ac:dyDescent="0.25">
      <c r="B120" s="147">
        <f>'DSCR (LP)'!B49</f>
        <v>10.625</v>
      </c>
      <c r="C120" s="148"/>
      <c r="D120" s="148"/>
      <c r="E120" s="149">
        <f>'DSCR (LP)'!C49</f>
        <v>108.05950000000006</v>
      </c>
      <c r="F120" s="149">
        <f>'DSCR (LP)'!D49</f>
        <v>106.175</v>
      </c>
      <c r="H120" s="143">
        <v>39</v>
      </c>
      <c r="I120" s="150">
        <f t="shared" si="0"/>
        <v>10.625</v>
      </c>
      <c r="J120" s="151"/>
      <c r="K120" s="151"/>
      <c r="L120" s="152" t="e">
        <f t="shared" si="2"/>
        <v>#N/A</v>
      </c>
      <c r="M120" s="152" t="e">
        <f t="shared" si="3"/>
        <v>#N/A</v>
      </c>
      <c r="N120" s="368">
        <v>10.625</v>
      </c>
      <c r="Y120" s="366" t="s">
        <v>272</v>
      </c>
      <c r="Z120" s="371"/>
      <c r="AA120" s="366" t="s">
        <v>571</v>
      </c>
      <c r="AB120"/>
      <c r="AC120"/>
      <c r="AD120"/>
      <c r="AE120"/>
      <c r="AF120"/>
      <c r="AG120"/>
      <c r="AH120"/>
      <c r="AI120"/>
      <c r="AJ120"/>
      <c r="AK120"/>
      <c r="AL120"/>
      <c r="AM120"/>
      <c r="AN120"/>
    </row>
    <row r="121" spans="2:40" x14ac:dyDescent="0.25">
      <c r="B121" s="147">
        <f>'DSCR (LP)'!B50</f>
        <v>10.75</v>
      </c>
      <c r="C121" s="148"/>
      <c r="D121" s="148"/>
      <c r="E121" s="149">
        <f>'DSCR (LP)'!C50</f>
        <v>108.18450000000006</v>
      </c>
      <c r="F121" s="149">
        <f>'DSCR (LP)'!D50</f>
        <v>106.425</v>
      </c>
      <c r="H121" s="143">
        <v>40</v>
      </c>
      <c r="I121" s="150">
        <f t="shared" si="0"/>
        <v>10.75</v>
      </c>
      <c r="J121" s="151"/>
      <c r="K121" s="151"/>
      <c r="L121" s="152" t="e">
        <f t="shared" si="2"/>
        <v>#N/A</v>
      </c>
      <c r="M121" s="152" t="e">
        <f t="shared" si="3"/>
        <v>#N/A</v>
      </c>
      <c r="N121" s="368">
        <v>10.75</v>
      </c>
      <c r="Y121" s="366" t="s">
        <v>272</v>
      </c>
      <c r="Z121" s="371"/>
      <c r="AA121" s="366"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c r="K122" s="151"/>
      <c r="L122" s="152" t="e">
        <f t="shared" si="2"/>
        <v>#N/A</v>
      </c>
      <c r="M122" s="152" t="e">
        <f t="shared" si="3"/>
        <v>#N/A</v>
      </c>
      <c r="N122" s="368">
        <v>0</v>
      </c>
      <c r="Y122" s="366" t="s">
        <v>272</v>
      </c>
      <c r="Z122" s="371"/>
      <c r="AA122" s="383"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c r="K123" s="151"/>
      <c r="L123" s="152" t="e">
        <f t="shared" si="2"/>
        <v>#N/A</v>
      </c>
      <c r="M123" s="152" t="e">
        <f t="shared" si="3"/>
        <v>#N/A</v>
      </c>
      <c r="N123" s="368">
        <v>0</v>
      </c>
      <c r="P123" s="158"/>
      <c r="Y123" s="366" t="s">
        <v>272</v>
      </c>
      <c r="Z123" s="371"/>
      <c r="AA123" s="366"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c r="K124" s="151"/>
      <c r="L124" s="152" t="e">
        <f t="shared" si="2"/>
        <v>#N/A</v>
      </c>
      <c r="M124" s="152" t="e">
        <f t="shared" si="3"/>
        <v>#N/A</v>
      </c>
      <c r="N124" s="119">
        <v>0</v>
      </c>
      <c r="O124"/>
      <c r="P124"/>
      <c r="Y124" s="371"/>
      <c r="Z124" s="371" t="str">
        <f>IF(AND(
   ISNUMBER(MATCH('DSCR (LP)'!$S$15, $D$18:$D$19, 0)),
   ISNUMBER(MATCH('DSCR (LP)'!$S$13, $C$5:$C$8))), NA(), "")</f>
        <v/>
      </c>
      <c r="AA124" s="369"/>
      <c r="AB124"/>
      <c r="AC124"/>
      <c r="AD124"/>
      <c r="AE124"/>
      <c r="AF124"/>
      <c r="AG124"/>
      <c r="AH124"/>
      <c r="AI124"/>
      <c r="AJ124"/>
      <c r="AK124"/>
      <c r="AL124"/>
      <c r="AM124"/>
      <c r="AN124"/>
    </row>
    <row r="125" spans="2:40" ht="15.75" thickBot="1" x14ac:dyDescent="0.3">
      <c r="H125" s="92">
        <v>44</v>
      </c>
      <c r="M125"/>
      <c r="O125"/>
      <c r="P125"/>
      <c r="AA125"/>
      <c r="AB125"/>
      <c r="AC125"/>
      <c r="AD125"/>
      <c r="AE125"/>
      <c r="AF125"/>
      <c r="AG125"/>
      <c r="AH125"/>
      <c r="AI125"/>
      <c r="AJ125"/>
      <c r="AK125"/>
      <c r="AL125"/>
      <c r="AM125"/>
      <c r="AN125"/>
    </row>
    <row r="126" spans="2:40" x14ac:dyDescent="0.25">
      <c r="G126" s="92" t="s">
        <v>633</v>
      </c>
      <c r="J126" s="159"/>
      <c r="K126" s="160"/>
      <c r="L126" s="161" t="e" cm="1">
        <f t="array" aca="1" ref="L126" ca="1">IF(IFERROR(INDEX(OFFSET(L82:L121,0,-3),MATCH(TRUE,($L$82:$L$121)&gt;=IF(E147&gt;100,100,E147),0)),MAX(I82:I121))&lt;E152,INDEX(H82:H121,MATCH(E152,I82:I121,0)),IFERROR(INDEX(OFFSET(L82:L121,0,-4),MATCH(TRUE,($L$82:$L$121)&gt;=IF(E147&gt;100,100,E147),0)),INDEX(OFFSET($L$82:$L$121,0,-4),MATCH(MAX($L$82:$L$121),$L$82:$L$121,0))))</f>
        <v>#N/A</v>
      </c>
      <c r="M126" s="16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2" t="s">
        <v>634</v>
      </c>
      <c r="J127" s="162"/>
      <c r="K127" s="163"/>
      <c r="L127" s="164" t="e">
        <f ca="1">VLOOKUP(L126,H82:L125,2,FALSE)</f>
        <v>#N/A</v>
      </c>
      <c r="M127" s="164" t="e">
        <f ca="1">VLOOKUP(M126,H82:M124,2,FALSE)</f>
        <v>#N/A</v>
      </c>
      <c r="O127"/>
      <c r="P127"/>
      <c r="AA127"/>
      <c r="AB127"/>
      <c r="AC127"/>
      <c r="AD127"/>
      <c r="AE127"/>
      <c r="AF127"/>
      <c r="AG127"/>
      <c r="AH127"/>
      <c r="AI127"/>
      <c r="AJ127"/>
      <c r="AK127"/>
      <c r="AL127"/>
      <c r="AM127"/>
      <c r="AN127"/>
    </row>
    <row r="128" spans="2:40" ht="15.75" thickBot="1" x14ac:dyDescent="0.3">
      <c r="B128"/>
      <c r="C128"/>
      <c r="D128"/>
      <c r="E128" s="493"/>
      <c r="F128"/>
      <c r="J128" s="165"/>
      <c r="K128" s="166"/>
      <c r="L128" s="167">
        <f>IF('DSCR (LP)'!S24='Feed(DSCR)'!M81,0,IF(G89=L81,L127,0))</f>
        <v>0</v>
      </c>
      <c r="M128" s="167">
        <f>IF(AND(G89=L81,'DSCR (LP)'!S24='Feed(DSCR)'!M81),M127,0)</f>
        <v>0</v>
      </c>
      <c r="N128"/>
      <c r="O128"/>
      <c r="P128"/>
      <c r="AA128"/>
      <c r="AB128"/>
      <c r="AC128"/>
      <c r="AD128"/>
      <c r="AE128"/>
      <c r="AF128"/>
      <c r="AG128"/>
      <c r="AH128"/>
      <c r="AI128"/>
      <c r="AJ128"/>
      <c r="AK128"/>
      <c r="AL128"/>
      <c r="AM128"/>
      <c r="AN128"/>
    </row>
    <row r="129" spans="1:40" x14ac:dyDescent="0.25">
      <c r="B129" s="706" t="str">
        <f>'DSCR (LP)'!Q55</f>
        <v>Max Price</v>
      </c>
      <c r="C129" s="707"/>
      <c r="D129" s="707"/>
      <c r="E129" s="168" t="s">
        <v>635</v>
      </c>
      <c r="F129"/>
      <c r="J129" s="162"/>
      <c r="K129" s="163"/>
      <c r="L129" s="169" t="e">
        <f ca="1">VLOOKUP(L126,H82:L125,5,FALSE)</f>
        <v>#N/A</v>
      </c>
      <c r="M129" s="169" t="e">
        <f ca="1">VLOOKUP(M126,H82:M125,6,FALSE)</f>
        <v>#N/A</v>
      </c>
      <c r="N129"/>
      <c r="O129"/>
      <c r="P129"/>
      <c r="AA129"/>
      <c r="AB129"/>
      <c r="AC129"/>
      <c r="AD129"/>
      <c r="AE129"/>
      <c r="AF129"/>
      <c r="AG129"/>
      <c r="AH129"/>
      <c r="AI129"/>
      <c r="AJ129"/>
      <c r="AK129"/>
      <c r="AL129"/>
      <c r="AM129"/>
      <c r="AN129"/>
    </row>
    <row r="130" spans="1:40" ht="15.75" thickBot="1" x14ac:dyDescent="0.3">
      <c r="B130" s="758" t="e">
        <f>#REF!</f>
        <v>#REF!</v>
      </c>
      <c r="C130" s="759"/>
      <c r="D130" s="386"/>
      <c r="E130" s="486"/>
      <c r="F130"/>
      <c r="J130" s="173"/>
      <c r="K130" s="174"/>
      <c r="L130" s="175">
        <f>IF('DSCR (LP)'!S24='Feed(DSCR)'!M81,0,IF(G89=L81,L129,0))</f>
        <v>0</v>
      </c>
      <c r="M130" s="176">
        <f>IF(AND(G89=L81,'DSCR (LP)'!S24='Feed(DSCR)'!M81),M129,0)</f>
        <v>0</v>
      </c>
      <c r="N130" s="142">
        <f>SUM(J128:M128)</f>
        <v>0</v>
      </c>
      <c r="O130"/>
      <c r="P130"/>
      <c r="AA130"/>
      <c r="AB130"/>
      <c r="AC130"/>
      <c r="AD130"/>
      <c r="AE130"/>
      <c r="AF130"/>
      <c r="AG130"/>
      <c r="AH130"/>
      <c r="AI130"/>
      <c r="AJ130"/>
      <c r="AK130"/>
      <c r="AL130"/>
      <c r="AM130"/>
      <c r="AN130"/>
    </row>
    <row r="131" spans="1:40" x14ac:dyDescent="0.25">
      <c r="B131" s="758"/>
      <c r="C131" s="759"/>
      <c r="D131" s="386"/>
      <c r="E131" s="486"/>
      <c r="F131"/>
      <c r="AA131"/>
      <c r="AB131"/>
      <c r="AC131"/>
      <c r="AD131"/>
      <c r="AE131"/>
      <c r="AF131"/>
      <c r="AG131"/>
      <c r="AH131"/>
      <c r="AI131"/>
      <c r="AJ131"/>
      <c r="AK131"/>
      <c r="AL131"/>
      <c r="AM131"/>
      <c r="AN131"/>
    </row>
    <row r="132" spans="1:40" x14ac:dyDescent="0.25">
      <c r="B132" s="713" t="e">
        <f>#REF!</f>
        <v>#REF!</v>
      </c>
      <c r="C132" s="714"/>
      <c r="D132" s="357">
        <f>'DSCR (LP)'!R59</f>
        <v>101</v>
      </c>
      <c r="E132" s="487" t="str" cm="1">
        <f t="array" ref="E132">IF(OR('DSCR (LP)'!S11=B10:B11),D132,"")</f>
        <v/>
      </c>
      <c r="F132"/>
      <c r="N132" s="142">
        <f>SUM(J130:M130)</f>
        <v>0</v>
      </c>
      <c r="AA132"/>
      <c r="AB132"/>
      <c r="AC132"/>
      <c r="AD132"/>
      <c r="AE132"/>
      <c r="AF132"/>
      <c r="AG132"/>
      <c r="AH132"/>
      <c r="AI132"/>
      <c r="AJ132"/>
      <c r="AK132"/>
      <c r="AL132"/>
      <c r="AM132"/>
      <c r="AN132"/>
    </row>
    <row r="133" spans="1:40" ht="15.75" thickBot="1" x14ac:dyDescent="0.3">
      <c r="A133" s="92" t="s">
        <v>176</v>
      </c>
      <c r="B133" s="713" t="str">
        <f>'DSCR (LP)'!Q60</f>
        <v>ITIN/Foreign National</v>
      </c>
      <c r="C133" s="714"/>
      <c r="D133" s="357">
        <f>'DSCR (LP)'!R60</f>
        <v>100.5</v>
      </c>
      <c r="E133" s="487" t="str" cm="1">
        <f t="array" ref="E133">IF(OR('DSCR (LP)'!S19=P6:P7),D133,"")</f>
        <v/>
      </c>
      <c r="F133"/>
      <c r="G133"/>
      <c r="H133"/>
      <c r="I133"/>
      <c r="J133"/>
      <c r="K133"/>
      <c r="L133"/>
      <c r="M133"/>
      <c r="AA133"/>
      <c r="AB133"/>
      <c r="AC133"/>
      <c r="AD133"/>
      <c r="AE133"/>
      <c r="AF133"/>
      <c r="AG133"/>
      <c r="AH133"/>
      <c r="AI133"/>
      <c r="AJ133"/>
      <c r="AK133"/>
      <c r="AL133"/>
      <c r="AM133"/>
      <c r="AN133"/>
    </row>
    <row r="134" spans="1:40" x14ac:dyDescent="0.25">
      <c r="B134" s="713" t="e">
        <f>#REF!</f>
        <v>#REF!</v>
      </c>
      <c r="C134" s="714"/>
      <c r="D134" s="357">
        <f>'DSCR (LP)'!R61</f>
        <v>100</v>
      </c>
      <c r="E134" s="487" t="str">
        <f>IF(OR('DSCR (LP)'!S32=S4),D134,"")</f>
        <v/>
      </c>
      <c r="F134"/>
      <c r="G134"/>
      <c r="H134"/>
      <c r="I134" s="699" t="s">
        <v>636</v>
      </c>
      <c r="J134" s="700"/>
      <c r="K134" s="177">
        <f>IF(L134="","",N130)</f>
        <v>0</v>
      </c>
      <c r="L134" s="178">
        <f>IF(N132&gt;E147,E147,N132)</f>
        <v>0</v>
      </c>
      <c r="M134"/>
      <c r="X134"/>
      <c r="Y134"/>
      <c r="Z134"/>
      <c r="AA134"/>
      <c r="AB134"/>
      <c r="AC134"/>
      <c r="AD134"/>
      <c r="AE134"/>
      <c r="AF134"/>
      <c r="AG134"/>
      <c r="AH134"/>
      <c r="AI134"/>
      <c r="AJ134"/>
      <c r="AK134"/>
    </row>
    <row r="135" spans="1:40" ht="15.75" thickBot="1" x14ac:dyDescent="0.3">
      <c r="B135" s="713" t="str">
        <f>'DSCR (LP)'!Q62</f>
        <v>No PPP</v>
      </c>
      <c r="C135" s="714"/>
      <c r="D135" s="357">
        <f>'DSCR (LP)'!R62</f>
        <v>100</v>
      </c>
      <c r="E135" s="487" t="str">
        <f>IF(AND(ISNUMBER(MATCH('DSCR (LP)'!S23, L5:L6, 0)),OR(ISNUMBER(MATCH('DSCR (LP)'!S27, H3:H4, 0)),)), D135, "")</f>
        <v/>
      </c>
      <c r="F135"/>
      <c r="G135"/>
      <c r="H135"/>
      <c r="I135" s="704"/>
      <c r="J135" s="705"/>
      <c r="K135" s="179"/>
      <c r="L135" s="180"/>
      <c r="M135"/>
      <c r="X135"/>
      <c r="Y135"/>
      <c r="Z135"/>
      <c r="AA135"/>
      <c r="AB135"/>
      <c r="AC135"/>
      <c r="AD135"/>
      <c r="AE135"/>
      <c r="AF135"/>
      <c r="AG135"/>
      <c r="AH135"/>
      <c r="AI135"/>
      <c r="AJ135"/>
      <c r="AK135"/>
    </row>
    <row r="136" spans="1:40" x14ac:dyDescent="0.25">
      <c r="A136" s="92" t="s">
        <v>176</v>
      </c>
      <c r="B136" s="713" t="str">
        <f>'DSCR (LP)'!Q63</f>
        <v>12 Months PPP</v>
      </c>
      <c r="C136" s="714"/>
      <c r="D136" s="357">
        <f>'DSCR (LP)'!R63</f>
        <v>101.5</v>
      </c>
      <c r="E136" s="487" t="str">
        <f>IF(AND(ISNUMBER(MATCH('DSCR (LP)'!S23, L5:L6, 0)),OR(ISNUMBER(MATCH('DSCR (LP)'!S27, H5, 0)),ISNUMBER(MATCH('DSCR (LP)'!S27, H10, 0)))), D136, "")</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13" t="str">
        <f>'DSCR (LP)'!Q64</f>
        <v>24 Months PPP</v>
      </c>
      <c r="C137" s="714"/>
      <c r="D137" s="357">
        <f>'DSCR (LP)'!R64</f>
        <v>102</v>
      </c>
      <c r="E137" s="487" t="str">
        <f>IF(AND(ISNUMBER(MATCH('DSCR (LP)'!S23,L5:L6,0)),OR(ISNUMBER(MATCH('DSCR (LP)'!S27,H6,0)),ISNUMBER(MATCH('DSCR (LP)'!S27,H11,0)))),D137,"")</f>
        <v/>
      </c>
      <c r="F137"/>
      <c r="G137"/>
      <c r="H137"/>
      <c r="I137"/>
      <c r="J137"/>
      <c r="K137"/>
      <c r="L137"/>
      <c r="M137"/>
      <c r="X137"/>
      <c r="Y137"/>
      <c r="Z137"/>
      <c r="AA137"/>
      <c r="AB137"/>
      <c r="AC137"/>
      <c r="AD137"/>
      <c r="AE137"/>
      <c r="AF137"/>
      <c r="AG137"/>
      <c r="AH137"/>
      <c r="AI137"/>
      <c r="AJ137"/>
      <c r="AK137"/>
    </row>
    <row r="138" spans="1:40" x14ac:dyDescent="0.25">
      <c r="A138" s="92" t="s">
        <v>176</v>
      </c>
      <c r="B138" s="713" t="str">
        <f>'DSCR (LP)'!Q56</f>
        <v>36-60 Months PPP</v>
      </c>
      <c r="C138" s="714"/>
      <c r="D138" s="356">
        <f>'DSCR (LP)'!R56</f>
        <v>102.5</v>
      </c>
      <c r="E138" s="487" t="str">
        <f>IF(AND(ISNUMBER(MATCH('DSCR (LP)'!S23, L5:L6, 0)),OR(ISNUMBER(MATCH('DSCR (LP)'!S27, H7:H9, 0)),ISNUMBER(MATCH('DSCR (LP)'!S27, H12:H14, 0)))), D138, "")</f>
        <v/>
      </c>
      <c r="F138"/>
      <c r="G138"/>
      <c r="H138"/>
      <c r="I138"/>
      <c r="J138"/>
      <c r="K138"/>
      <c r="L138"/>
      <c r="M138"/>
      <c r="X138"/>
      <c r="Y138"/>
      <c r="Z138"/>
      <c r="AA138"/>
      <c r="AB138"/>
      <c r="AC138"/>
      <c r="AD138"/>
      <c r="AE138"/>
      <c r="AF138"/>
      <c r="AG138"/>
      <c r="AH138"/>
      <c r="AI138"/>
      <c r="AJ138"/>
      <c r="AK138"/>
    </row>
    <row r="139" spans="1:40" x14ac:dyDescent="0.25">
      <c r="A139" s="92" t="s">
        <v>637</v>
      </c>
      <c r="B139" s="713" t="str">
        <f>'DSCR (LP)'!Q57</f>
        <v>&gt;$2,000,000</v>
      </c>
      <c r="C139" s="714"/>
      <c r="D139" s="356">
        <f>'DSCR (LP)'!R57</f>
        <v>100.75</v>
      </c>
      <c r="E139" s="487" t="str" cm="1">
        <f t="array" ref="E139">IF(OR('DSCR (LP)'!S20=G8:G12),D139,"")</f>
        <v/>
      </c>
      <c r="F139"/>
      <c r="G139"/>
      <c r="H139"/>
      <c r="I139"/>
      <c r="J139"/>
      <c r="K139"/>
      <c r="L139"/>
      <c r="M139"/>
      <c r="X139"/>
      <c r="Y139"/>
      <c r="Z139"/>
      <c r="AA139"/>
      <c r="AB139"/>
      <c r="AC139"/>
      <c r="AD139"/>
      <c r="AE139"/>
      <c r="AF139"/>
      <c r="AG139"/>
      <c r="AH139"/>
      <c r="AI139"/>
      <c r="AJ139"/>
      <c r="AK139"/>
    </row>
    <row r="140" spans="1:40" x14ac:dyDescent="0.25">
      <c r="A140" s="92" t="s">
        <v>176</v>
      </c>
      <c r="B140" s="713" t="str">
        <f>'DSCR (LP)'!Q58</f>
        <v>&gt;$2,500,000</v>
      </c>
      <c r="C140" s="714"/>
      <c r="D140" s="356">
        <f>'DSCR (LP)'!R58</f>
        <v>100.5</v>
      </c>
      <c r="E140" s="487" t="str" cm="1">
        <f t="array" ref="E140">IF(OR('DSCR (LP)'!S20=G9:G12),D140,"")</f>
        <v/>
      </c>
      <c r="F140"/>
      <c r="G140"/>
      <c r="H140"/>
      <c r="I140"/>
      <c r="J140"/>
      <c r="K140"/>
      <c r="L140"/>
      <c r="M140"/>
    </row>
    <row r="141" spans="1:40" x14ac:dyDescent="0.25">
      <c r="B141" s="713" t="str">
        <f>'DSCR (LP)'!Q66</f>
        <v>DSCR 5-8 Units</v>
      </c>
      <c r="C141" s="714"/>
      <c r="D141" s="356">
        <f>'DSCR (LP)'!R66</f>
        <v>100</v>
      </c>
      <c r="E141" s="487" t="str">
        <f>IF(OR('DSCR (LP)'!S24=K10),D141,"")</f>
        <v/>
      </c>
      <c r="F141"/>
      <c r="G141"/>
      <c r="H141"/>
      <c r="I141"/>
      <c r="J141"/>
      <c r="K141"/>
      <c r="L141"/>
      <c r="M141"/>
    </row>
    <row r="142" spans="1:40" x14ac:dyDescent="0.25">
      <c r="A142" s="92" t="s">
        <v>176</v>
      </c>
      <c r="B142" s="713" t="str">
        <f>'DSCR (LP)'!Q65</f>
        <v>NJ Title Vested in LLC</v>
      </c>
      <c r="C142" s="714"/>
      <c r="D142" s="356">
        <f>'DSCR (LP)'!R65</f>
        <v>100</v>
      </c>
      <c r="E142" s="488" t="str">
        <f>IF(OR('DSCR (LP)'!S28=J15),D142,"")</f>
        <v/>
      </c>
      <c r="F142"/>
      <c r="G142"/>
      <c r="H142"/>
      <c r="I142"/>
      <c r="J142"/>
      <c r="K142"/>
      <c r="L142"/>
      <c r="M142"/>
    </row>
    <row r="143" spans="1:40" x14ac:dyDescent="0.25">
      <c r="B143" s="713">
        <f>'DSCR (LP)'!Q67</f>
        <v>0</v>
      </c>
      <c r="C143" s="714"/>
      <c r="D143" s="356">
        <f>'DSCR (LP)'!R67</f>
        <v>0</v>
      </c>
      <c r="E143" s="488" t="str">
        <f>IF(AND('DSCR (LP)'!S29=T16,OR('DSCR (LP)'!S23=L6),'DSCR (LP)'!S27=H3),D143,"")</f>
        <v/>
      </c>
      <c r="F143"/>
      <c r="G143"/>
      <c r="H143"/>
      <c r="I143"/>
      <c r="J143"/>
      <c r="K143"/>
      <c r="L143"/>
      <c r="M143"/>
    </row>
    <row r="144" spans="1:40" x14ac:dyDescent="0.25">
      <c r="B144" s="758"/>
      <c r="C144" s="759"/>
      <c r="D144" s="386"/>
      <c r="E144" s="486"/>
      <c r="F144"/>
      <c r="G144"/>
      <c r="H144"/>
      <c r="I144"/>
      <c r="J144"/>
      <c r="K144"/>
      <c r="L144"/>
      <c r="M144"/>
    </row>
    <row r="145" spans="2:23" x14ac:dyDescent="0.25">
      <c r="B145" s="384"/>
      <c r="C145" s="385"/>
      <c r="D145" s="386"/>
      <c r="E145" s="486"/>
      <c r="F145"/>
      <c r="G145"/>
      <c r="H145"/>
      <c r="I145"/>
      <c r="J145"/>
      <c r="K145"/>
      <c r="L145"/>
      <c r="M145"/>
    </row>
    <row r="146" spans="2:23" ht="15.75" thickBot="1" x14ac:dyDescent="0.3">
      <c r="B146" s="384"/>
      <c r="C146" s="385"/>
      <c r="D146" s="386"/>
      <c r="E146" s="489"/>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387" t="str">
        <f>'DSCR (LP)'!Q69</f>
        <v>&gt;$2,500,000</v>
      </c>
      <c r="C150" s="388"/>
      <c r="D150" s="389">
        <f>'DSCR (LP)'!R69</f>
        <v>6.625</v>
      </c>
      <c r="E150" s="487" t="str" cm="1">
        <f t="array" ref="E150">IF(OR('DSCR (LP)'!S20=G9:G12),D150,"")</f>
        <v/>
      </c>
      <c r="F150"/>
      <c r="G150"/>
      <c r="H150"/>
      <c r="I150"/>
      <c r="J150"/>
      <c r="K150"/>
      <c r="L150"/>
      <c r="M150"/>
    </row>
    <row r="151" spans="2:23" ht="15.75" thickBot="1" x14ac:dyDescent="0.3">
      <c r="B151" s="387" t="str">
        <f>'DSCR (LP)'!Q70</f>
        <v>ITIN/Foreign National</v>
      </c>
      <c r="C151" s="388"/>
      <c r="D151" s="389">
        <f>'DSCR (LP)'!R70</f>
        <v>7.375</v>
      </c>
      <c r="E151" s="487" t="str" cm="1">
        <f t="array" ref="E151">IF(OR('DSCR (LP)'!S19=P6:P7),D151,"")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s="493"/>
      <c r="F154"/>
      <c r="G154"/>
      <c r="H154"/>
      <c r="I154"/>
      <c r="J154"/>
      <c r="K154"/>
      <c r="L154"/>
      <c r="M154"/>
    </row>
    <row r="155" spans="2:23" x14ac:dyDescent="0.25">
      <c r="B155"/>
      <c r="C155"/>
      <c r="D155"/>
      <c r="E155" s="493"/>
      <c r="F155"/>
      <c r="G155"/>
      <c r="H155"/>
      <c r="I155"/>
      <c r="J155"/>
      <c r="K155"/>
      <c r="L155"/>
      <c r="M155"/>
    </row>
    <row r="156" spans="2:23" x14ac:dyDescent="0.25">
      <c r="B156"/>
      <c r="C156"/>
      <c r="D156"/>
      <c r="E156" s="493"/>
      <c r="F156"/>
      <c r="G156"/>
      <c r="H156"/>
      <c r="I156"/>
      <c r="J156"/>
      <c r="K156"/>
      <c r="L156"/>
      <c r="M156"/>
    </row>
    <row r="157" spans="2:23" x14ac:dyDescent="0.25">
      <c r="B157"/>
      <c r="C157"/>
      <c r="D157"/>
      <c r="E157" s="493"/>
      <c r="F157"/>
      <c r="G157"/>
      <c r="H157"/>
      <c r="I157"/>
      <c r="J157"/>
      <c r="K157"/>
      <c r="L157"/>
      <c r="M157"/>
    </row>
    <row r="158" spans="2:23" ht="15.75" thickBot="1" x14ac:dyDescent="0.3">
      <c r="B158"/>
      <c r="C158"/>
      <c r="D158"/>
      <c r="E158" s="493"/>
      <c r="F158"/>
      <c r="G158"/>
      <c r="H158"/>
      <c r="I158"/>
      <c r="J158"/>
      <c r="K158"/>
      <c r="L158"/>
      <c r="M158"/>
    </row>
    <row r="159" spans="2:23" ht="15.75" thickBot="1" x14ac:dyDescent="0.3">
      <c r="B159"/>
      <c r="C159"/>
      <c r="D159"/>
      <c r="E159" s="493"/>
      <c r="F159"/>
      <c r="G159"/>
      <c r="H159"/>
      <c r="I159"/>
      <c r="J159"/>
      <c r="K159"/>
      <c r="L159"/>
      <c r="M159"/>
      <c r="T159" s="462" t="s">
        <v>765</v>
      </c>
      <c r="U159" s="102"/>
      <c r="V159" s="102"/>
      <c r="W159" s="102"/>
    </row>
    <row r="160" spans="2:23" ht="12" customHeight="1" x14ac:dyDescent="0.25">
      <c r="B160"/>
      <c r="C160"/>
      <c r="D160"/>
      <c r="E160" s="493"/>
      <c r="F160"/>
      <c r="G160"/>
      <c r="H160"/>
      <c r="I160"/>
      <c r="J160"/>
      <c r="K160"/>
      <c r="L160"/>
      <c r="M160"/>
      <c r="T160" s="462" t="s">
        <v>31</v>
      </c>
      <c r="U160" s="462" t="s">
        <v>765</v>
      </c>
      <c r="V160" s="463"/>
      <c r="W160" s="464"/>
    </row>
    <row r="161" spans="2:23" ht="12" customHeight="1" x14ac:dyDescent="0.25">
      <c r="B161" s="695" t="s">
        <v>11</v>
      </c>
      <c r="C161" s="696"/>
      <c r="D161" s="13" t="s">
        <v>12</v>
      </c>
      <c r="E161" s="13" t="s">
        <v>13</v>
      </c>
      <c r="F161" s="13" t="s">
        <v>14</v>
      </c>
      <c r="G161" s="13" t="s">
        <v>15</v>
      </c>
      <c r="H161" s="13" t="s">
        <v>16</v>
      </c>
      <c r="I161" s="13" t="s">
        <v>17</v>
      </c>
      <c r="J161" s="13" t="s">
        <v>18</v>
      </c>
      <c r="K161" s="13" t="s">
        <v>19</v>
      </c>
      <c r="L161" s="12" t="s">
        <v>20</v>
      </c>
      <c r="M161"/>
      <c r="O161" s="92" t="s">
        <v>639</v>
      </c>
      <c r="T161" s="468" t="s">
        <v>766</v>
      </c>
      <c r="U161" s="468" t="s">
        <v>766</v>
      </c>
      <c r="V161" s="469" t="s">
        <v>778</v>
      </c>
      <c r="W161" s="470">
        <v>0</v>
      </c>
    </row>
    <row r="162" spans="2:23" ht="12" customHeight="1" x14ac:dyDescent="0.25">
      <c r="B162" s="648" t="s">
        <v>95</v>
      </c>
      <c r="C162" s="650"/>
      <c r="D162" s="650"/>
      <c r="E162" s="650"/>
      <c r="F162" s="650"/>
      <c r="G162" s="650"/>
      <c r="H162" s="650"/>
      <c r="I162" s="650"/>
      <c r="J162" s="650"/>
      <c r="K162" s="650"/>
      <c r="L162" s="649"/>
      <c r="M162"/>
      <c r="N162" s="102" t="s">
        <v>31</v>
      </c>
      <c r="O162" s="352"/>
      <c r="P162" s="353"/>
      <c r="Q162" s="353"/>
      <c r="R162" s="353"/>
      <c r="T162" s="468" t="s">
        <v>767</v>
      </c>
      <c r="U162" s="468" t="s">
        <v>767</v>
      </c>
      <c r="V162" s="469" t="s">
        <v>779</v>
      </c>
      <c r="W162" s="470">
        <v>0.15</v>
      </c>
    </row>
    <row r="163" spans="2:23" ht="12" customHeight="1" x14ac:dyDescent="0.25">
      <c r="B163" s="348" t="s">
        <v>213</v>
      </c>
      <c r="C163" s="349"/>
      <c r="D163" s="22">
        <v>0</v>
      </c>
      <c r="E163" s="22">
        <v>0</v>
      </c>
      <c r="F163" s="22">
        <v>0</v>
      </c>
      <c r="G163" s="22">
        <v>0</v>
      </c>
      <c r="H163" s="22">
        <v>0</v>
      </c>
      <c r="I163" s="22">
        <v>0</v>
      </c>
      <c r="J163" s="22">
        <v>0</v>
      </c>
      <c r="K163" s="22">
        <v>0</v>
      </c>
      <c r="L163" s="23" t="e">
        <v>#N/A</v>
      </c>
      <c r="M163"/>
      <c r="N163" s="92" t="s">
        <v>135</v>
      </c>
      <c r="O163" s="350"/>
      <c r="P163" s="350"/>
      <c r="Q163" s="350"/>
      <c r="R163" s="350"/>
      <c r="T163" s="468" t="s">
        <v>768</v>
      </c>
      <c r="U163" s="468" t="s">
        <v>768</v>
      </c>
      <c r="V163" s="469" t="s">
        <v>780</v>
      </c>
      <c r="W163" s="470">
        <v>0.25</v>
      </c>
    </row>
    <row r="164" spans="2:23" ht="12" customHeight="1"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c r="P164" s="351"/>
      <c r="Q164" s="351"/>
      <c r="R164" s="351"/>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c r="P165" s="351"/>
      <c r="Q165" s="351"/>
      <c r="R165" s="351"/>
    </row>
    <row r="166" spans="2:23" x14ac:dyDescent="0.25">
      <c r="B166" s="348" t="s">
        <v>237</v>
      </c>
      <c r="C166" s="349"/>
      <c r="D166" s="22">
        <v>0</v>
      </c>
      <c r="E166" s="22">
        <v>0</v>
      </c>
      <c r="F166" s="22">
        <v>0</v>
      </c>
      <c r="G166" s="22">
        <v>0</v>
      </c>
      <c r="H166" s="22">
        <v>0</v>
      </c>
      <c r="I166" s="22">
        <v>0</v>
      </c>
      <c r="J166" s="22">
        <v>0</v>
      </c>
      <c r="K166" s="22" t="e">
        <v>#N/A</v>
      </c>
      <c r="L166" s="23" t="e">
        <v>#N/A</v>
      </c>
      <c r="M166"/>
      <c r="N166" s="92" t="s">
        <v>239</v>
      </c>
    </row>
    <row r="167" spans="2:23" x14ac:dyDescent="0.25">
      <c r="B167" s="348" t="s">
        <v>98</v>
      </c>
      <c r="C167" s="349"/>
      <c r="D167" s="22">
        <v>-1</v>
      </c>
      <c r="E167" s="22">
        <v>-1</v>
      </c>
      <c r="F167" s="22">
        <v>-1</v>
      </c>
      <c r="G167" s="22">
        <v>-1</v>
      </c>
      <c r="H167" s="22">
        <v>-1.25</v>
      </c>
      <c r="I167" s="22">
        <v>-1.5</v>
      </c>
      <c r="J167" s="22" t="e">
        <v>#N/A</v>
      </c>
      <c r="K167" s="22" t="e">
        <v>#N/A</v>
      </c>
      <c r="L167" s="23" t="e">
        <v>#N/A</v>
      </c>
      <c r="M167"/>
      <c r="N167" s="92" t="s">
        <v>140</v>
      </c>
      <c r="O167" s="353"/>
      <c r="P167" s="353"/>
      <c r="Q167" s="353"/>
      <c r="R167" s="353"/>
    </row>
    <row r="168" spans="2:23" x14ac:dyDescent="0.25">
      <c r="B168" s="348" t="s">
        <v>99</v>
      </c>
      <c r="C168" s="349"/>
      <c r="D168" s="22">
        <v>0</v>
      </c>
      <c r="E168" s="22">
        <v>0</v>
      </c>
      <c r="F168" s="22">
        <v>0</v>
      </c>
      <c r="G168" s="22">
        <v>0</v>
      </c>
      <c r="H168" s="22">
        <v>0</v>
      </c>
      <c r="I168" s="22">
        <v>0</v>
      </c>
      <c r="J168" s="22">
        <v>0</v>
      </c>
      <c r="K168" s="22" t="e">
        <v>#N/A</v>
      </c>
      <c r="L168" s="23" t="e">
        <v>#N/A</v>
      </c>
      <c r="M168"/>
      <c r="N168" s="92" t="s">
        <v>142</v>
      </c>
      <c r="O168" s="354"/>
      <c r="P168" s="350"/>
      <c r="Q168" s="350"/>
      <c r="R168" s="350"/>
    </row>
    <row r="169" spans="2:23" x14ac:dyDescent="0.25">
      <c r="B169" s="348" t="s">
        <v>100</v>
      </c>
      <c r="C169" s="349"/>
      <c r="D169" s="22">
        <v>-0.25</v>
      </c>
      <c r="E169" s="22">
        <v>-0.25</v>
      </c>
      <c r="F169" s="22">
        <v>-0.25</v>
      </c>
      <c r="G169" s="22">
        <v>-0.25</v>
      </c>
      <c r="H169" s="22">
        <v>-0.25</v>
      </c>
      <c r="I169" s="22">
        <v>-0.25</v>
      </c>
      <c r="J169" s="22">
        <v>-0.25</v>
      </c>
      <c r="K169" s="22" t="e">
        <v>#N/A</v>
      </c>
      <c r="L169" s="23" t="e">
        <v>#N/A</v>
      </c>
      <c r="M169"/>
      <c r="N169" s="92" t="s">
        <v>249</v>
      </c>
      <c r="O169" s="351"/>
      <c r="P169" s="355"/>
      <c r="Q169" s="355"/>
      <c r="R169" s="355"/>
    </row>
    <row r="170" spans="2:23" x14ac:dyDescent="0.25">
      <c r="B170" s="348" t="s">
        <v>248</v>
      </c>
      <c r="C170" s="349"/>
      <c r="D170" s="22">
        <v>0</v>
      </c>
      <c r="E170" s="22">
        <v>0</v>
      </c>
      <c r="F170" s="22">
        <v>0</v>
      </c>
      <c r="G170" s="22">
        <v>0</v>
      </c>
      <c r="H170" s="22">
        <v>0</v>
      </c>
      <c r="I170" s="22">
        <v>0</v>
      </c>
      <c r="J170" s="22">
        <v>0</v>
      </c>
      <c r="K170" s="22">
        <v>0</v>
      </c>
      <c r="L170" s="23" t="e">
        <v>#N/A</v>
      </c>
      <c r="M170"/>
      <c r="N170" s="92" t="s">
        <v>144</v>
      </c>
      <c r="O170" s="354"/>
      <c r="P170" s="350"/>
      <c r="Q170" s="350"/>
      <c r="R170" s="350"/>
    </row>
    <row r="171" spans="2:23" x14ac:dyDescent="0.25">
      <c r="B171" s="348" t="s">
        <v>212</v>
      </c>
      <c r="C171" s="349"/>
      <c r="D171" s="22">
        <v>0</v>
      </c>
      <c r="E171" s="22">
        <v>0</v>
      </c>
      <c r="F171" s="22">
        <v>0</v>
      </c>
      <c r="G171" s="22">
        <v>0</v>
      </c>
      <c r="H171" s="22">
        <v>0</v>
      </c>
      <c r="I171" s="22">
        <v>0</v>
      </c>
      <c r="J171" s="22">
        <v>0</v>
      </c>
      <c r="K171" s="22">
        <v>0</v>
      </c>
      <c r="L171" s="23" t="e">
        <v>#N/A</v>
      </c>
      <c r="M171"/>
      <c r="N171" s="92" t="s">
        <v>147</v>
      </c>
    </row>
    <row r="172" spans="2:23" ht="15.75" thickBot="1" x14ac:dyDescent="0.3">
      <c r="B172" s="348" t="s">
        <v>177</v>
      </c>
      <c r="C172" s="349"/>
      <c r="D172" s="22">
        <v>0</v>
      </c>
      <c r="E172" s="22">
        <v>0</v>
      </c>
      <c r="F172" s="22">
        <v>0</v>
      </c>
      <c r="G172" s="22">
        <v>0</v>
      </c>
      <c r="H172" s="22">
        <v>0</v>
      </c>
      <c r="I172" s="22">
        <v>0</v>
      </c>
      <c r="J172" s="22">
        <v>0</v>
      </c>
      <c r="K172" s="22">
        <v>0</v>
      </c>
      <c r="L172" s="23" t="e">
        <v>#N/A</v>
      </c>
      <c r="M172"/>
      <c r="N172" s="92" t="s">
        <v>252</v>
      </c>
      <c r="O172" s="102"/>
    </row>
    <row r="173" spans="2:23" x14ac:dyDescent="0.25">
      <c r="B173" s="437" t="s">
        <v>143</v>
      </c>
      <c r="C173" s="438"/>
      <c r="D173" s="438"/>
      <c r="E173" s="438"/>
      <c r="F173" s="438"/>
      <c r="G173" s="438"/>
      <c r="H173" s="438"/>
      <c r="I173" s="438"/>
      <c r="J173" s="438"/>
      <c r="K173" s="438"/>
      <c r="L173" s="439"/>
      <c r="M173"/>
      <c r="N173" s="92" t="s">
        <v>150</v>
      </c>
      <c r="O173" s="92" t="s">
        <v>176</v>
      </c>
    </row>
    <row r="174" spans="2:23" x14ac:dyDescent="0.25">
      <c r="B174" s="346" t="s">
        <v>230</v>
      </c>
      <c r="C174" s="347"/>
      <c r="D174" s="22">
        <v>-0.375</v>
      </c>
      <c r="E174" s="22">
        <v>-0.375</v>
      </c>
      <c r="F174" s="22">
        <v>-0.375</v>
      </c>
      <c r="G174" s="22">
        <v>-0.375</v>
      </c>
      <c r="H174" s="22">
        <v>-0.5</v>
      </c>
      <c r="I174" s="22">
        <v>-0.5</v>
      </c>
      <c r="J174" s="22">
        <v>-0.5</v>
      </c>
      <c r="K174" s="22" t="e">
        <v>#N/A</v>
      </c>
      <c r="L174" s="23" t="e">
        <v>#N/A</v>
      </c>
      <c r="M174"/>
      <c r="N174" s="102" t="s">
        <v>211</v>
      </c>
      <c r="O174" s="352" t="s">
        <v>52</v>
      </c>
      <c r="P174" s="353" t="s">
        <v>50</v>
      </c>
      <c r="Q174" s="353" t="s">
        <v>640</v>
      </c>
      <c r="R174" s="353" t="s">
        <v>641</v>
      </c>
    </row>
    <row r="175" spans="2:23" x14ac:dyDescent="0.25">
      <c r="B175" s="346" t="s">
        <v>239</v>
      </c>
      <c r="C175" s="347"/>
      <c r="D175" s="22">
        <f>'DSCR (LP)'!H65+D180</f>
        <v>-1</v>
      </c>
      <c r="E175" s="22">
        <f>'DSCR (LP)'!I65+E180</f>
        <v>-1</v>
      </c>
      <c r="F175" s="22">
        <f>'DSCR (LP)'!J65+F180</f>
        <v>-1</v>
      </c>
      <c r="G175" s="22">
        <f>'DSCR (LP)'!K65+G180</f>
        <v>-1</v>
      </c>
      <c r="H175" s="22">
        <f>'DSCR (LP)'!L65+H180</f>
        <v>-1.25</v>
      </c>
      <c r="I175" s="22">
        <f>'DSCR (LP)'!M65+I180</f>
        <v>-1.25</v>
      </c>
      <c r="J175" s="22">
        <f>'DSCR (LP)'!N65+J180</f>
        <v>-1.25</v>
      </c>
      <c r="K175" s="22" t="e">
        <f>'DSCR (LP)'!O65+K180</f>
        <v>#N/A</v>
      </c>
      <c r="L175" s="23" t="e">
        <v>#N/A</v>
      </c>
      <c r="M175"/>
      <c r="N175" s="102" t="s">
        <v>221</v>
      </c>
      <c r="O175" s="350" t="e">
        <f>IF(OR($O$176="", $O$177="", $O$177="Choose a Selection"),0,
   INDEX($D$163:$L$217,
         MATCH($O$177,$B$163:$B$217,0),
         MATCH($O$176,$D$161:$L$161,0)))</f>
        <v>#N/A</v>
      </c>
      <c r="P175" s="350">
        <f>IF(OR($P$176="", $P$177="", $P$177="Choose a Selection"),0,
   INDEX($D$163:$L$217,
         MATCH($P$177,$B$163:$B$217,0),
         MATCH($P$176,$D$161:$L$161,0)))</f>
        <v>0</v>
      </c>
      <c r="Q175" s="350" t="e">
        <f>IF(OR($Q$176="", $Q$177="",$Q$177="Choose a Selection"),0,
   INDEX($D$163:$L$217,
         MATCH($Q$177,$B$163:$B$217,0),
         MATCH($Q$176,$D$161:$L$161,0)))</f>
        <v>#N/A</v>
      </c>
      <c r="R175" s="350">
        <f>IF(OR($R$176="", $R$177="",$R$177="Choose a Selection"),0,
   INDEX($D$163:$L$217,
         MATCH($R$177,$B$163:$B$217,0),
         MATCH($R$176,$D$161:$L$161,0)))</f>
        <v>0</v>
      </c>
    </row>
    <row r="176" spans="2:23" x14ac:dyDescent="0.25">
      <c r="B176" s="346" t="s">
        <v>249</v>
      </c>
      <c r="C176" s="347"/>
      <c r="D176" s="22">
        <f>'DSCR (LP)'!H65</f>
        <v>-0.5</v>
      </c>
      <c r="E176" s="22">
        <f>'DSCR (LP)'!I65</f>
        <v>-0.5</v>
      </c>
      <c r="F176" s="22">
        <f>'DSCR (LP)'!J65</f>
        <v>-0.5</v>
      </c>
      <c r="G176" s="22">
        <f>'DSCR (LP)'!K65</f>
        <v>-0.5</v>
      </c>
      <c r="H176" s="22">
        <f>'DSCR (LP)'!L65</f>
        <v>-0.75</v>
      </c>
      <c r="I176" s="22">
        <f>'DSCR (LP)'!M65</f>
        <v>-0.75</v>
      </c>
      <c r="J176" s="22">
        <f>'DSCR (LP)'!N65</f>
        <v>-0.75</v>
      </c>
      <c r="K176" s="22" t="e">
        <f>'DSCR (LP)'!O65</f>
        <v>#N/A</v>
      </c>
      <c r="L176" s="23">
        <f>'DSCR (LP)'!P65</f>
        <v>0</v>
      </c>
      <c r="M176"/>
      <c r="N176" s="102" t="s">
        <v>228</v>
      </c>
      <c r="O176" s="351" t="str">
        <f>'DSCR (LP)'!$S$11</f>
        <v>Choose a Selection</v>
      </c>
      <c r="P176" s="351" t="str">
        <f>'DSCR (LP)'!$S$11</f>
        <v>Choose a Selection</v>
      </c>
      <c r="Q176" s="351" t="str">
        <f>'DSCR (LP)'!$S$11</f>
        <v>Choose a Selection</v>
      </c>
      <c r="R176" s="351" t="str">
        <f>'DSCR (LP)'!$S$11</f>
        <v>Choose a Selection</v>
      </c>
    </row>
    <row r="177" spans="2:18" x14ac:dyDescent="0.25">
      <c r="B177" s="346" t="s">
        <v>252</v>
      </c>
      <c r="C177" s="347"/>
      <c r="D177" s="22">
        <f>'DSCR (LP)'!H65</f>
        <v>-0.5</v>
      </c>
      <c r="E177" s="22">
        <f>'DSCR (LP)'!I65</f>
        <v>-0.5</v>
      </c>
      <c r="F177" s="22">
        <f>'DSCR (LP)'!J65</f>
        <v>-0.5</v>
      </c>
      <c r="G177" s="22">
        <f>'DSCR (LP)'!K65</f>
        <v>-0.5</v>
      </c>
      <c r="H177" s="22">
        <f>'DSCR (LP)'!L65</f>
        <v>-0.75</v>
      </c>
      <c r="I177" s="22">
        <f>'DSCR (LP)'!M65</f>
        <v>-0.75</v>
      </c>
      <c r="J177" s="22">
        <f>'DSCR (LP)'!N65</f>
        <v>-0.75</v>
      </c>
      <c r="K177" s="22" t="e">
        <f>'DSCR (LP)'!O65</f>
        <v>#N/A</v>
      </c>
      <c r="L177" s="23">
        <f>'DSCR (LP)'!P65</f>
        <v>0</v>
      </c>
      <c r="M177"/>
      <c r="N177" s="92" t="s">
        <v>56</v>
      </c>
      <c r="O177" s="351" t="str">
        <f>'DSCR (LP)'!$S$25</f>
        <v>30YR Fixed</v>
      </c>
      <c r="P177" s="351" t="str">
        <f>'DSCR (LP)'!$S$24</f>
        <v>Choose a Selection</v>
      </c>
      <c r="Q177" s="400" t="str">
        <f>'DSCR (LP)'!S32</f>
        <v>No</v>
      </c>
      <c r="R177" s="351" t="str">
        <f>'DSCR (LP)'!$S$19</f>
        <v>Choose a Selection</v>
      </c>
    </row>
    <row r="178" spans="2:18" x14ac:dyDescent="0.25">
      <c r="B178" s="346" t="s">
        <v>135</v>
      </c>
      <c r="C178" s="347"/>
      <c r="D178" s="22">
        <v>0.25</v>
      </c>
      <c r="E178" s="22">
        <v>0.25</v>
      </c>
      <c r="F178" s="22">
        <v>0.25</v>
      </c>
      <c r="G178" s="22">
        <v>0.25</v>
      </c>
      <c r="H178" s="22">
        <v>0.25</v>
      </c>
      <c r="I178" s="22">
        <v>0.25</v>
      </c>
      <c r="J178" s="22">
        <v>0.25</v>
      </c>
      <c r="K178" s="22">
        <v>0.25</v>
      </c>
      <c r="L178" s="23" t="e">
        <v>#N/A</v>
      </c>
      <c r="M178"/>
      <c r="N178" s="92" t="s">
        <v>151</v>
      </c>
    </row>
    <row r="179" spans="2:18" x14ac:dyDescent="0.25">
      <c r="B179" s="346" t="s">
        <v>53</v>
      </c>
      <c r="C179" s="347"/>
      <c r="D179" s="22">
        <v>0</v>
      </c>
      <c r="E179" s="22">
        <v>0</v>
      </c>
      <c r="F179" s="22">
        <v>0</v>
      </c>
      <c r="G179" s="22">
        <v>0</v>
      </c>
      <c r="H179" s="22">
        <v>0</v>
      </c>
      <c r="I179" s="22">
        <v>0</v>
      </c>
      <c r="J179" s="22">
        <v>0</v>
      </c>
      <c r="K179" s="22">
        <v>0</v>
      </c>
      <c r="L179" s="23" t="e">
        <v>#N/A</v>
      </c>
      <c r="M179"/>
      <c r="N179" s="102" t="s">
        <v>157</v>
      </c>
      <c r="O179" s="353" t="s">
        <v>30</v>
      </c>
      <c r="P179" s="353" t="s">
        <v>49</v>
      </c>
      <c r="Q179" s="353" t="s">
        <v>55</v>
      </c>
      <c r="R179" s="353" t="s">
        <v>202</v>
      </c>
    </row>
    <row r="180" spans="2:18" x14ac:dyDescent="0.25">
      <c r="B180" s="346" t="s">
        <v>140</v>
      </c>
      <c r="C180" s="347"/>
      <c r="D180" s="22">
        <v>-0.5</v>
      </c>
      <c r="E180" s="22">
        <v>-0.5</v>
      </c>
      <c r="F180" s="22">
        <v>-0.5</v>
      </c>
      <c r="G180" s="22">
        <v>-0.5</v>
      </c>
      <c r="H180" s="22">
        <v>-0.5</v>
      </c>
      <c r="I180" s="22">
        <v>-0.5</v>
      </c>
      <c r="J180" s="22">
        <v>-0.5</v>
      </c>
      <c r="K180" s="22">
        <v>-0.5</v>
      </c>
      <c r="L180" s="23" t="e">
        <v>#N/A</v>
      </c>
      <c r="M180"/>
      <c r="N180" s="102" t="s">
        <v>160</v>
      </c>
      <c r="O180" s="354">
        <f>IF(OR($O$181="", $O$182="", $O$182="Choose a Selection"),0,
   INDEX($D$163:$L$217,
         MATCH($O$182,$B$163:$B$217,0),
         MATCH($O$181,$D$161:$L$161,0)))</f>
        <v>0</v>
      </c>
      <c r="P180" s="350">
        <f>IF(OR($P$181="", $P$182="", $P$182="Choose a Selection"),0,
   INDEX($D$163:$L$217,
         MATCH($P$182,$B$163:$B$217,0),
         MATCH($P$181,$D$161:$L$161,0)))</f>
        <v>0</v>
      </c>
      <c r="Q180" s="350" t="e">
        <f>IF(OR($Q$181="", $Q$182="", $Q$182="Choose a Selection"),0,
   INDEX($D$163:$L$217,
         MATCH($Q$182,$B$163:$B$217,0),
         MATCH($Q$181,$D$161:$L$161,0)))</f>
        <v>#N/A</v>
      </c>
      <c r="R180" s="350" t="e">
        <f>IF(OR($R$181="", $R$182="", $R$182="Choose a Selection"),0,
   INDEX($D$163:$L$217,
         MATCH($R$182,$B$163:$B$217,0),
         MATCH($R$181,$D$161:$L$161,0)))</f>
        <v>#N/A</v>
      </c>
    </row>
    <row r="181" spans="2:18" x14ac:dyDescent="0.25">
      <c r="B181" s="346" t="s">
        <v>142</v>
      </c>
      <c r="C181" s="347"/>
      <c r="D181" s="22">
        <v>0.25</v>
      </c>
      <c r="E181" s="22">
        <v>0.25</v>
      </c>
      <c r="F181" s="22">
        <v>0.25</v>
      </c>
      <c r="G181" s="22">
        <v>0.25</v>
      </c>
      <c r="H181" s="22">
        <v>0.25</v>
      </c>
      <c r="I181" s="22">
        <v>0.25</v>
      </c>
      <c r="J181" s="22">
        <v>0.25</v>
      </c>
      <c r="K181" s="22">
        <v>0.25</v>
      </c>
      <c r="L181" s="23" t="e">
        <v>#N/A</v>
      </c>
      <c r="M181"/>
      <c r="N181" s="102" t="s">
        <v>222</v>
      </c>
      <c r="O181" s="351" t="str">
        <f>'DSCR (LP)'!$S$11</f>
        <v>Choose a Selection</v>
      </c>
      <c r="P181" s="355" t="str">
        <f>'DSCR (LP)'!$S$11</f>
        <v>Choose a Selection</v>
      </c>
      <c r="Q181" s="355" t="str">
        <f>'DSCR (LP)'!$S$11</f>
        <v>Choose a Selection</v>
      </c>
      <c r="R181" s="355" t="str">
        <f>'DSCR (LP)'!$S$11</f>
        <v>Choose a Selection</v>
      </c>
    </row>
    <row r="182" spans="2:18" x14ac:dyDescent="0.25">
      <c r="B182" s="346" t="s">
        <v>144</v>
      </c>
      <c r="C182" s="347"/>
      <c r="D182" s="22">
        <v>-0.5</v>
      </c>
      <c r="E182" s="22">
        <v>-0.5</v>
      </c>
      <c r="F182" s="22">
        <v>-0.5</v>
      </c>
      <c r="G182" s="22">
        <v>-0.5</v>
      </c>
      <c r="H182" s="22">
        <v>-0.5</v>
      </c>
      <c r="I182" s="22">
        <v>-0.5</v>
      </c>
      <c r="J182" s="22">
        <v>-0.5</v>
      </c>
      <c r="K182" s="22">
        <v>-0.5</v>
      </c>
      <c r="L182" s="23" t="e">
        <v>#N/A</v>
      </c>
      <c r="N182" s="102" t="s">
        <v>231</v>
      </c>
      <c r="O182" s="354" t="str">
        <f>'DSCR (LP)'!S14</f>
        <v>Choose a Selection</v>
      </c>
      <c r="P182" s="350" t="str">
        <f>'DSCR (LP)'!$S$23</f>
        <v>Choose a Selection</v>
      </c>
      <c r="Q182" s="350" t="str">
        <f>'DSCR (LP)'!$S$26</f>
        <v>Escrow Not Waived</v>
      </c>
      <c r="R182" s="350" t="str">
        <f>'DSCR (LP)'!$S$30</f>
        <v>30 Day</v>
      </c>
    </row>
    <row r="183" spans="2:18" x14ac:dyDescent="0.25">
      <c r="B183" s="346" t="s">
        <v>147</v>
      </c>
      <c r="C183" s="347"/>
      <c r="D183" s="22">
        <v>0.25</v>
      </c>
      <c r="E183" s="22">
        <v>0.25</v>
      </c>
      <c r="F183" s="22">
        <v>0.25</v>
      </c>
      <c r="G183" s="22">
        <v>0.25</v>
      </c>
      <c r="H183" s="22">
        <v>0.25</v>
      </c>
      <c r="I183" s="22">
        <v>0.25</v>
      </c>
      <c r="J183" s="22">
        <v>0.25</v>
      </c>
      <c r="K183" s="22">
        <v>0.25</v>
      </c>
      <c r="L183" s="23" t="e">
        <v>#N/A</v>
      </c>
      <c r="N183" s="102" t="s">
        <v>212</v>
      </c>
    </row>
    <row r="184" spans="2:18" x14ac:dyDescent="0.25">
      <c r="B184" s="346" t="s">
        <v>150</v>
      </c>
      <c r="C184" s="347"/>
      <c r="D184" s="22">
        <v>-0.5</v>
      </c>
      <c r="E184" s="22">
        <v>-0.5</v>
      </c>
      <c r="F184" s="22">
        <v>-0.5</v>
      </c>
      <c r="G184" s="22">
        <v>-0.5</v>
      </c>
      <c r="H184" s="22">
        <v>-0.5</v>
      </c>
      <c r="I184" s="22">
        <v>-0.5</v>
      </c>
      <c r="J184" s="22">
        <v>-0.5</v>
      </c>
      <c r="K184" s="22">
        <v>-0.5</v>
      </c>
      <c r="L184" s="23" t="e">
        <v>#N/A</v>
      </c>
      <c r="N184" s="102" t="s">
        <v>99</v>
      </c>
      <c r="O184" s="353" t="s">
        <v>643</v>
      </c>
    </row>
    <row r="185" spans="2:18" x14ac:dyDescent="0.25">
      <c r="B185" s="346" t="s">
        <v>151</v>
      </c>
      <c r="C185" s="347"/>
      <c r="D185" s="615">
        <f>'DSCR (LP)'!H66</f>
        <v>0</v>
      </c>
      <c r="E185" s="615">
        <f>'DSCR (LP)'!I66</f>
        <v>0</v>
      </c>
      <c r="F185" s="615">
        <f>'DSCR (LP)'!J66</f>
        <v>0</v>
      </c>
      <c r="G185" s="615">
        <f>'DSCR (LP)'!K66</f>
        <v>0</v>
      </c>
      <c r="H185" s="615">
        <f>'DSCR (LP)'!L66</f>
        <v>0</v>
      </c>
      <c r="I185" s="615">
        <f>'DSCR (LP)'!M66</f>
        <v>0</v>
      </c>
      <c r="J185" s="615">
        <f>'DSCR (LP)'!N66</f>
        <v>0</v>
      </c>
      <c r="K185" s="615">
        <f>'DSCR (LP)'!O66</f>
        <v>-0.25</v>
      </c>
      <c r="L185" s="23" t="e">
        <v>#N/A</v>
      </c>
      <c r="N185" s="102" t="s">
        <v>100</v>
      </c>
      <c r="O185" s="354">
        <f>IF(OR($O$186="", $O$187="", $O$187="Choose a Selection"),0,INDEX($D$163:$L$217,MATCH($O$187,$B$163:$B$217,0),MATCH($O$186,$D$161:$L$161,0)))</f>
        <v>0</v>
      </c>
    </row>
    <row r="186" spans="2:18" x14ac:dyDescent="0.25">
      <c r="B186" s="346" t="s">
        <v>56</v>
      </c>
      <c r="C186" s="347"/>
      <c r="D186" s="22">
        <v>0</v>
      </c>
      <c r="E186" s="22">
        <v>0</v>
      </c>
      <c r="F186" s="22">
        <v>0</v>
      </c>
      <c r="G186" s="22">
        <v>0</v>
      </c>
      <c r="H186" s="22">
        <v>0</v>
      </c>
      <c r="I186" s="22">
        <v>0</v>
      </c>
      <c r="J186" s="22">
        <v>0</v>
      </c>
      <c r="K186" s="22">
        <v>0</v>
      </c>
      <c r="L186" s="23" t="e">
        <v>#N/A</v>
      </c>
      <c r="N186" s="102" t="s">
        <v>237</v>
      </c>
      <c r="O186" s="351" t="str">
        <f>'DSCR (LP)'!$S$11</f>
        <v>Choose a Selection</v>
      </c>
    </row>
    <row r="187" spans="2:18" x14ac:dyDescent="0.25">
      <c r="B187" s="346" t="s">
        <v>211</v>
      </c>
      <c r="C187" s="347"/>
      <c r="D187" s="22">
        <v>0</v>
      </c>
      <c r="E187" s="22">
        <v>0</v>
      </c>
      <c r="F187" s="22">
        <v>0</v>
      </c>
      <c r="G187" s="22">
        <v>0</v>
      </c>
      <c r="H187" s="22">
        <v>0</v>
      </c>
      <c r="I187" s="22">
        <v>0</v>
      </c>
      <c r="J187" s="22">
        <v>0</v>
      </c>
      <c r="K187" s="22">
        <v>0</v>
      </c>
      <c r="L187" s="23" t="e">
        <v>#N/A</v>
      </c>
      <c r="N187" s="92" t="s">
        <v>242</v>
      </c>
      <c r="O187" s="354" t="str">
        <f>'DSCR (LP)'!S29</f>
        <v>Choose a Selection</v>
      </c>
    </row>
    <row r="188" spans="2:18" x14ac:dyDescent="0.25">
      <c r="B188" s="346" t="s">
        <v>221</v>
      </c>
      <c r="C188" s="347"/>
      <c r="D188" s="22">
        <v>0</v>
      </c>
      <c r="E188" s="22">
        <v>0</v>
      </c>
      <c r="F188" s="22">
        <v>-0.125</v>
      </c>
      <c r="G188" s="22">
        <v>-0.25</v>
      </c>
      <c r="H188" s="22">
        <v>-0.25</v>
      </c>
      <c r="I188" s="22">
        <v>-0.25</v>
      </c>
      <c r="J188" s="22">
        <v>-0.25</v>
      </c>
      <c r="K188" s="22">
        <v>-0.5</v>
      </c>
      <c r="L188" s="23" t="e">
        <v>#N/A</v>
      </c>
      <c r="N188" s="102" t="s">
        <v>98</v>
      </c>
    </row>
    <row r="189" spans="2:18" x14ac:dyDescent="0.25">
      <c r="B189" s="346" t="s">
        <v>228</v>
      </c>
      <c r="C189" s="347"/>
      <c r="D189" s="22">
        <v>-0.25</v>
      </c>
      <c r="E189" s="22">
        <v>-0.25</v>
      </c>
      <c r="F189" s="22">
        <v>-0.25</v>
      </c>
      <c r="G189" s="22">
        <v>-0.375</v>
      </c>
      <c r="H189" s="22">
        <v>-0.5</v>
      </c>
      <c r="I189" s="22">
        <v>-0.625</v>
      </c>
      <c r="J189" s="22">
        <v>-1</v>
      </c>
      <c r="K189" s="22" t="e">
        <v>#N/A</v>
      </c>
      <c r="L189" s="23" t="e">
        <v>#N/A</v>
      </c>
      <c r="N189" s="102" t="s">
        <v>248</v>
      </c>
    </row>
    <row r="190" spans="2:18" x14ac:dyDescent="0.25">
      <c r="B190" s="346" t="s">
        <v>216</v>
      </c>
      <c r="C190" s="347"/>
      <c r="D190" s="22">
        <v>0</v>
      </c>
      <c r="E190" s="22">
        <v>0</v>
      </c>
      <c r="F190" s="22">
        <v>0</v>
      </c>
      <c r="G190" s="22">
        <v>0</v>
      </c>
      <c r="H190" s="22">
        <v>0</v>
      </c>
      <c r="I190" s="22">
        <v>0</v>
      </c>
      <c r="J190" s="22">
        <v>0</v>
      </c>
      <c r="K190" s="22">
        <v>0</v>
      </c>
      <c r="L190" s="23" t="e">
        <v>#N/A</v>
      </c>
      <c r="N190" s="92" t="s">
        <v>195</v>
      </c>
    </row>
    <row r="191" spans="2:18" x14ac:dyDescent="0.25">
      <c r="B191" s="346" t="s">
        <v>157</v>
      </c>
      <c r="C191" s="347"/>
      <c r="D191" s="615">
        <f>'DSCR (LP)'!H67</f>
        <v>-2</v>
      </c>
      <c r="E191" s="615">
        <f>'DSCR (LP)'!I67</f>
        <v>-2</v>
      </c>
      <c r="F191" s="615">
        <f>'DSCR (LP)'!J67</f>
        <v>-2</v>
      </c>
      <c r="G191" s="615">
        <f>'DSCR (LP)'!K67</f>
        <v>-2</v>
      </c>
      <c r="H191" s="615">
        <f>'DSCR (LP)'!L67</f>
        <v>-2</v>
      </c>
      <c r="I191" s="615">
        <f>'DSCR (LP)'!M67</f>
        <v>-2.5</v>
      </c>
      <c r="J191" s="615" t="e">
        <f>'DSCR (LP)'!N67</f>
        <v>#N/A</v>
      </c>
      <c r="K191" s="615" t="e">
        <f>'DSCR (LP)'!O67</f>
        <v>#N/A</v>
      </c>
      <c r="L191" s="23" t="e">
        <v>#N/A</v>
      </c>
    </row>
    <row r="192" spans="2:18" x14ac:dyDescent="0.25">
      <c r="B192" s="346" t="s">
        <v>160</v>
      </c>
      <c r="C192" s="347"/>
      <c r="D192" s="22">
        <v>-1.5</v>
      </c>
      <c r="E192" s="22">
        <v>-1.5</v>
      </c>
      <c r="F192" s="22">
        <v>-1.5</v>
      </c>
      <c r="G192" s="22">
        <v>-1.5</v>
      </c>
      <c r="H192" s="22">
        <v>-1.5</v>
      </c>
      <c r="I192" s="22">
        <v>-1.75</v>
      </c>
      <c r="J192" s="22" t="e">
        <v>#N/A</v>
      </c>
      <c r="K192" s="22" t="e">
        <v>#N/A</v>
      </c>
      <c r="L192" s="23" t="e">
        <v>#N/A</v>
      </c>
      <c r="N192"/>
      <c r="O192"/>
    </row>
    <row r="193" spans="2:16" x14ac:dyDescent="0.25">
      <c r="B193" s="346" t="s">
        <v>222</v>
      </c>
      <c r="C193" s="347"/>
      <c r="D193" s="22">
        <v>0</v>
      </c>
      <c r="E193" s="22">
        <v>0</v>
      </c>
      <c r="F193" s="22">
        <v>0</v>
      </c>
      <c r="G193" s="22">
        <v>0</v>
      </c>
      <c r="H193" s="22">
        <v>0</v>
      </c>
      <c r="I193" s="22">
        <v>0</v>
      </c>
      <c r="J193" s="22">
        <v>0</v>
      </c>
      <c r="K193" s="22">
        <v>0</v>
      </c>
      <c r="L193" s="23" t="e">
        <v>#N/A</v>
      </c>
      <c r="N193"/>
      <c r="O193"/>
    </row>
    <row r="194" spans="2:16" x14ac:dyDescent="0.25">
      <c r="B194" s="346" t="s">
        <v>231</v>
      </c>
      <c r="C194" s="347"/>
      <c r="D194" s="22">
        <v>0</v>
      </c>
      <c r="E194" s="22">
        <v>0</v>
      </c>
      <c r="F194" s="22">
        <v>0</v>
      </c>
      <c r="G194" s="22">
        <v>0</v>
      </c>
      <c r="H194" s="22">
        <v>0</v>
      </c>
      <c r="I194" s="22">
        <v>0</v>
      </c>
      <c r="J194" s="22">
        <v>0</v>
      </c>
      <c r="K194" s="22">
        <v>0</v>
      </c>
      <c r="L194" s="23" t="e">
        <v>#N/A</v>
      </c>
      <c r="N194"/>
      <c r="O194"/>
    </row>
    <row r="195" spans="2:16" x14ac:dyDescent="0.25">
      <c r="B195" s="346" t="s">
        <v>69</v>
      </c>
      <c r="C195" s="347"/>
      <c r="D195" s="22">
        <v>-0.5</v>
      </c>
      <c r="E195" s="22">
        <v>-0.5</v>
      </c>
      <c r="F195" s="22">
        <v>-0.5</v>
      </c>
      <c r="G195" s="22">
        <v>-0.5</v>
      </c>
      <c r="H195" s="22">
        <v>-0.5</v>
      </c>
      <c r="I195" s="22">
        <v>-0.5</v>
      </c>
      <c r="J195" s="22">
        <v>-0.5</v>
      </c>
      <c r="K195" s="22">
        <v>-0.5</v>
      </c>
      <c r="L195" s="23" t="e">
        <v>#N/A</v>
      </c>
      <c r="N195"/>
      <c r="O195"/>
      <c r="P195"/>
    </row>
    <row r="196" spans="2:16" x14ac:dyDescent="0.25">
      <c r="B196" s="346" t="s">
        <v>255</v>
      </c>
      <c r="C196" s="347"/>
      <c r="D196" s="22">
        <v>0</v>
      </c>
      <c r="E196" s="22">
        <v>0</v>
      </c>
      <c r="F196" s="22">
        <v>0</v>
      </c>
      <c r="G196" s="22">
        <v>0</v>
      </c>
      <c r="H196" s="22">
        <v>0</v>
      </c>
      <c r="I196" s="22">
        <v>0</v>
      </c>
      <c r="J196" s="22">
        <v>0</v>
      </c>
      <c r="K196" s="22">
        <v>0</v>
      </c>
      <c r="L196" s="23" t="e">
        <v>#N/A</v>
      </c>
      <c r="N196"/>
      <c r="O196"/>
      <c r="P196"/>
    </row>
    <row r="197" spans="2:16" x14ac:dyDescent="0.25">
      <c r="B197" s="346" t="s">
        <v>258</v>
      </c>
      <c r="C197" s="347"/>
      <c r="D197" s="22">
        <v>0</v>
      </c>
      <c r="E197" s="22">
        <v>0</v>
      </c>
      <c r="F197" s="22">
        <v>0</v>
      </c>
      <c r="G197" s="22">
        <v>0</v>
      </c>
      <c r="H197" s="22">
        <v>0</v>
      </c>
      <c r="I197" s="22">
        <v>0</v>
      </c>
      <c r="J197" s="22">
        <v>0</v>
      </c>
      <c r="K197" s="22">
        <v>0</v>
      </c>
      <c r="L197" s="23" t="e">
        <v>#N/A</v>
      </c>
      <c r="N197"/>
      <c r="O197"/>
      <c r="P197"/>
    </row>
    <row r="198" spans="2:16" x14ac:dyDescent="0.25">
      <c r="B198" s="346" t="s">
        <v>261</v>
      </c>
      <c r="C198" s="347"/>
      <c r="D198" s="22">
        <v>0</v>
      </c>
      <c r="E198" s="22">
        <v>0</v>
      </c>
      <c r="F198" s="22">
        <v>0</v>
      </c>
      <c r="G198" s="22">
        <v>0</v>
      </c>
      <c r="H198" s="22">
        <v>0</v>
      </c>
      <c r="I198" s="22">
        <v>0</v>
      </c>
      <c r="J198" s="22">
        <v>0</v>
      </c>
      <c r="K198" s="22">
        <v>0</v>
      </c>
      <c r="L198" s="23" t="e">
        <v>#N/A</v>
      </c>
      <c r="N198"/>
      <c r="O198"/>
      <c r="P198"/>
    </row>
    <row r="199" spans="2:16" x14ac:dyDescent="0.25">
      <c r="B199" s="346" t="s">
        <v>264</v>
      </c>
      <c r="C199" s="347"/>
      <c r="D199" s="22">
        <v>0</v>
      </c>
      <c r="E199" s="22">
        <v>0</v>
      </c>
      <c r="F199" s="22">
        <v>0</v>
      </c>
      <c r="G199" s="22">
        <v>0</v>
      </c>
      <c r="H199" s="22">
        <v>0</v>
      </c>
      <c r="I199" s="22">
        <v>0</v>
      </c>
      <c r="J199" s="22">
        <v>0</v>
      </c>
      <c r="K199" s="22">
        <v>0</v>
      </c>
      <c r="L199" s="23" t="e">
        <v>#N/A</v>
      </c>
    </row>
    <row r="200" spans="2:16" x14ac:dyDescent="0.25">
      <c r="B200" s="346" t="s">
        <v>218</v>
      </c>
      <c r="C200" s="347"/>
      <c r="D200" s="22">
        <v>0</v>
      </c>
      <c r="E200" s="22">
        <v>0</v>
      </c>
      <c r="F200" s="22">
        <v>0</v>
      </c>
      <c r="G200" s="22">
        <v>0</v>
      </c>
      <c r="H200" s="22">
        <v>0</v>
      </c>
      <c r="I200" s="22">
        <v>0</v>
      </c>
      <c r="J200" s="22">
        <v>0</v>
      </c>
      <c r="K200" s="22">
        <v>0</v>
      </c>
      <c r="L200" s="23" t="e">
        <v>#N/A</v>
      </c>
    </row>
    <row r="201" spans="2:16" x14ac:dyDescent="0.25">
      <c r="B201" s="346" t="s">
        <v>226</v>
      </c>
      <c r="C201" s="347"/>
      <c r="D201" s="22">
        <v>0</v>
      </c>
      <c r="E201" s="22">
        <v>0</v>
      </c>
      <c r="F201" s="22">
        <v>0</v>
      </c>
      <c r="G201" s="22">
        <v>0</v>
      </c>
      <c r="H201" s="22">
        <v>0</v>
      </c>
      <c r="I201" s="22">
        <v>0</v>
      </c>
      <c r="J201" s="22">
        <v>0</v>
      </c>
      <c r="K201" s="22">
        <v>0</v>
      </c>
      <c r="L201" s="23" t="e">
        <v>#N/A</v>
      </c>
    </row>
    <row r="202" spans="2:16" x14ac:dyDescent="0.25">
      <c r="B202" s="346" t="s">
        <v>234</v>
      </c>
      <c r="C202" s="347"/>
      <c r="D202" s="22">
        <v>0</v>
      </c>
      <c r="E202" s="22">
        <v>0</v>
      </c>
      <c r="F202" s="22">
        <v>0</v>
      </c>
      <c r="G202" s="22">
        <v>0</v>
      </c>
      <c r="H202" s="22">
        <v>0</v>
      </c>
      <c r="I202" s="22">
        <v>0</v>
      </c>
      <c r="J202" s="22">
        <v>0</v>
      </c>
      <c r="K202" s="22">
        <v>0</v>
      </c>
      <c r="L202" s="23" t="e">
        <v>#N/A</v>
      </c>
    </row>
    <row r="203" spans="2:16" x14ac:dyDescent="0.25">
      <c r="B203" s="346" t="s">
        <v>240</v>
      </c>
      <c r="C203" s="347"/>
      <c r="D203" s="22">
        <v>0</v>
      </c>
      <c r="E203" s="22">
        <v>0</v>
      </c>
      <c r="F203" s="22">
        <v>0</v>
      </c>
      <c r="G203" s="22">
        <v>0</v>
      </c>
      <c r="H203" s="22">
        <v>0</v>
      </c>
      <c r="I203" s="22">
        <v>0</v>
      </c>
      <c r="J203" s="22">
        <v>0</v>
      </c>
      <c r="K203" s="22">
        <v>0</v>
      </c>
      <c r="L203" s="23" t="e">
        <v>#N/A</v>
      </c>
    </row>
    <row r="204" spans="2:16" x14ac:dyDescent="0.25">
      <c r="B204" s="346" t="s">
        <v>244</v>
      </c>
      <c r="C204" s="347"/>
      <c r="D204" s="22">
        <v>0</v>
      </c>
      <c r="E204" s="22">
        <v>0</v>
      </c>
      <c r="F204" s="22">
        <v>0</v>
      </c>
      <c r="G204" s="22">
        <v>0</v>
      </c>
      <c r="H204" s="22">
        <v>0</v>
      </c>
      <c r="I204" s="22">
        <v>0</v>
      </c>
      <c r="J204" s="22">
        <v>0</v>
      </c>
      <c r="K204" s="22">
        <v>0</v>
      </c>
      <c r="L204" s="23" t="e">
        <v>#N/A</v>
      </c>
    </row>
    <row r="205" spans="2:16" x14ac:dyDescent="0.25">
      <c r="B205" s="346" t="s">
        <v>246</v>
      </c>
      <c r="C205" s="347"/>
      <c r="D205" s="22">
        <v>0</v>
      </c>
      <c r="E205" s="22">
        <v>0</v>
      </c>
      <c r="F205" s="22">
        <v>0</v>
      </c>
      <c r="G205" s="22">
        <v>0</v>
      </c>
      <c r="H205" s="22">
        <v>0</v>
      </c>
      <c r="I205" s="22">
        <v>0</v>
      </c>
      <c r="J205" s="22">
        <v>0</v>
      </c>
      <c r="K205" s="22">
        <v>0</v>
      </c>
      <c r="L205" s="23" t="e">
        <v>#N/A</v>
      </c>
    </row>
    <row r="206" spans="2:16" x14ac:dyDescent="0.25">
      <c r="B206" s="346" t="s">
        <v>250</v>
      </c>
      <c r="C206" s="347"/>
      <c r="D206" s="22">
        <v>0</v>
      </c>
      <c r="E206" s="22">
        <v>0</v>
      </c>
      <c r="F206" s="22">
        <v>0</v>
      </c>
      <c r="G206" s="22">
        <v>0</v>
      </c>
      <c r="H206" s="22">
        <v>0</v>
      </c>
      <c r="I206" s="22">
        <v>0</v>
      </c>
      <c r="J206" s="22">
        <v>0</v>
      </c>
      <c r="K206" s="22">
        <v>0</v>
      </c>
      <c r="L206" s="23" t="e">
        <v>#N/A</v>
      </c>
    </row>
    <row r="207" spans="2:16" x14ac:dyDescent="0.25">
      <c r="B207" s="346" t="s">
        <v>251</v>
      </c>
      <c r="C207" s="347"/>
      <c r="D207" s="22">
        <v>0</v>
      </c>
      <c r="E207" s="22">
        <v>0</v>
      </c>
      <c r="F207" s="22">
        <v>0</v>
      </c>
      <c r="G207" s="22">
        <v>0</v>
      </c>
      <c r="H207" s="22">
        <v>0</v>
      </c>
      <c r="I207" s="22">
        <v>0</v>
      </c>
      <c r="J207" s="22">
        <v>0</v>
      </c>
      <c r="K207" s="22">
        <v>0</v>
      </c>
      <c r="L207" s="23" t="e">
        <v>#N/A</v>
      </c>
    </row>
    <row r="208" spans="2:16" x14ac:dyDescent="0.25">
      <c r="B208" s="346" t="s">
        <v>187</v>
      </c>
      <c r="C208" s="347"/>
      <c r="D208" s="22">
        <v>-0.25</v>
      </c>
      <c r="E208" s="22">
        <v>-0.25</v>
      </c>
      <c r="F208" s="22">
        <v>-0.25</v>
      </c>
      <c r="G208" s="22">
        <v>-0.25</v>
      </c>
      <c r="H208" s="22">
        <v>-0.25</v>
      </c>
      <c r="I208" s="22">
        <v>-0.25</v>
      </c>
      <c r="J208" s="22">
        <v>-0.25</v>
      </c>
      <c r="K208" s="22">
        <v>-0.25</v>
      </c>
      <c r="L208" s="23" t="e">
        <v>#N/A</v>
      </c>
    </row>
    <row r="209" spans="2:12" x14ac:dyDescent="0.25">
      <c r="B209" s="346" t="s">
        <v>188</v>
      </c>
      <c r="C209" s="347"/>
      <c r="D209" s="22">
        <v>-0.25</v>
      </c>
      <c r="E209" s="22">
        <v>-0.25</v>
      </c>
      <c r="F209" s="22">
        <v>-0.25</v>
      </c>
      <c r="G209" s="22">
        <v>-0.25</v>
      </c>
      <c r="H209" s="22">
        <v>-0.25</v>
      </c>
      <c r="I209" s="22">
        <v>-0.25</v>
      </c>
      <c r="J209" s="22">
        <v>-0.25</v>
      </c>
      <c r="K209" s="22">
        <v>-0.25</v>
      </c>
      <c r="L209" s="22" t="e">
        <v>#N/A</v>
      </c>
    </row>
    <row r="210" spans="2:12" x14ac:dyDescent="0.25">
      <c r="B210" s="346" t="s">
        <v>189</v>
      </c>
      <c r="C210" s="347"/>
      <c r="D210" s="22">
        <v>-0.25</v>
      </c>
      <c r="E210" s="22">
        <v>-0.25</v>
      </c>
      <c r="F210" s="22">
        <v>-0.25</v>
      </c>
      <c r="G210" s="22">
        <v>-0.25</v>
      </c>
      <c r="H210" s="22">
        <v>-0.25</v>
      </c>
      <c r="I210" s="22">
        <v>-0.25</v>
      </c>
      <c r="J210" s="22">
        <v>-0.25</v>
      </c>
      <c r="K210" s="22">
        <v>-0.25</v>
      </c>
      <c r="L210" s="23" t="e">
        <v>#N/A</v>
      </c>
    </row>
    <row r="211" spans="2:12" x14ac:dyDescent="0.25">
      <c r="B211" s="346" t="s">
        <v>191</v>
      </c>
      <c r="C211" s="347"/>
      <c r="D211" s="22">
        <v>-0.25</v>
      </c>
      <c r="E211" s="22">
        <v>-0.25</v>
      </c>
      <c r="F211" s="22">
        <v>-0.25</v>
      </c>
      <c r="G211" s="22">
        <v>-0.25</v>
      </c>
      <c r="H211" s="22">
        <v>-0.25</v>
      </c>
      <c r="I211" s="22">
        <v>-0.25</v>
      </c>
      <c r="J211" s="22">
        <v>-0.25</v>
      </c>
      <c r="K211" s="22">
        <v>-0.25</v>
      </c>
      <c r="L211" s="23" t="e">
        <v>#N/A</v>
      </c>
    </row>
    <row r="212" spans="2:12" x14ac:dyDescent="0.25">
      <c r="B212" s="346" t="s">
        <v>894</v>
      </c>
      <c r="C212" s="347"/>
      <c r="D212" s="22">
        <v>0</v>
      </c>
      <c r="E212" s="22">
        <v>0</v>
      </c>
      <c r="F212" s="22">
        <v>0</v>
      </c>
      <c r="G212" s="22">
        <v>0</v>
      </c>
      <c r="H212" s="22">
        <v>0</v>
      </c>
      <c r="I212" s="22">
        <v>0</v>
      </c>
      <c r="J212" s="22">
        <v>0</v>
      </c>
      <c r="K212" s="22">
        <v>0</v>
      </c>
      <c r="L212" s="23" t="e">
        <v>#N/A</v>
      </c>
    </row>
    <row r="213" spans="2:12" x14ac:dyDescent="0.25">
      <c r="B213" s="346" t="s">
        <v>192</v>
      </c>
      <c r="C213" s="347"/>
      <c r="D213" s="22">
        <v>-0.25</v>
      </c>
      <c r="E213" s="22">
        <v>-0.25</v>
      </c>
      <c r="F213" s="22">
        <v>-0.25</v>
      </c>
      <c r="G213" s="22">
        <v>-0.25</v>
      </c>
      <c r="H213" s="22">
        <v>-0.25</v>
      </c>
      <c r="I213" s="22">
        <v>-0.25</v>
      </c>
      <c r="J213" s="22">
        <v>-0.25</v>
      </c>
      <c r="K213" s="22">
        <v>-0.25</v>
      </c>
      <c r="L213" s="23" t="e">
        <v>#N/A</v>
      </c>
    </row>
    <row r="214" spans="2:12" x14ac:dyDescent="0.25">
      <c r="B214" s="346" t="s">
        <v>193</v>
      </c>
      <c r="C214" s="347"/>
      <c r="D214" s="22">
        <v>-0.25</v>
      </c>
      <c r="E214" s="22">
        <v>-0.25</v>
      </c>
      <c r="F214" s="22">
        <v>-0.25</v>
      </c>
      <c r="G214" s="22">
        <v>-0.25</v>
      </c>
      <c r="H214" s="22">
        <v>-0.25</v>
      </c>
      <c r="I214" s="22">
        <v>-0.25</v>
      </c>
      <c r="J214" s="22">
        <v>-0.25</v>
      </c>
      <c r="K214" s="22">
        <v>-0.25</v>
      </c>
      <c r="L214" s="23" t="e">
        <v>#N/A</v>
      </c>
    </row>
    <row r="215" spans="2:12" x14ac:dyDescent="0.25">
      <c r="B215" s="346" t="s">
        <v>65</v>
      </c>
      <c r="C215" s="347"/>
      <c r="D215" s="22">
        <v>0</v>
      </c>
      <c r="E215" s="22">
        <v>0</v>
      </c>
      <c r="F215" s="22">
        <v>0</v>
      </c>
      <c r="G215" s="22">
        <v>0</v>
      </c>
      <c r="H215" s="22">
        <v>0</v>
      </c>
      <c r="I215" s="22">
        <v>0</v>
      </c>
      <c r="J215" s="22">
        <v>0</v>
      </c>
      <c r="K215" s="22">
        <v>0</v>
      </c>
      <c r="L215" s="23" t="e">
        <v>#N/A</v>
      </c>
    </row>
    <row r="216" spans="2:12" x14ac:dyDescent="0.25">
      <c r="B216" s="346" t="s">
        <v>106</v>
      </c>
      <c r="C216" s="347"/>
      <c r="D216" s="22">
        <v>-0.25</v>
      </c>
      <c r="E216" s="22">
        <v>-0.25</v>
      </c>
      <c r="F216" s="22">
        <v>-0.25</v>
      </c>
      <c r="G216" s="22">
        <v>-0.25</v>
      </c>
      <c r="H216" s="22">
        <v>-0.25</v>
      </c>
      <c r="I216" s="22">
        <v>-0.25</v>
      </c>
      <c r="J216" s="22">
        <v>-0.25</v>
      </c>
      <c r="K216" s="22">
        <v>-0.25</v>
      </c>
      <c r="L216" s="23" t="e">
        <v>#N/A</v>
      </c>
    </row>
    <row r="217" spans="2:12" x14ac:dyDescent="0.25">
      <c r="B217" s="346" t="s">
        <v>111</v>
      </c>
      <c r="C217" s="347"/>
      <c r="D217" s="22">
        <v>-0.5</v>
      </c>
      <c r="E217" s="22">
        <v>-0.5</v>
      </c>
      <c r="F217" s="22">
        <v>-0.5</v>
      </c>
      <c r="G217" s="22">
        <v>-0.5</v>
      </c>
      <c r="H217" s="22">
        <v>-0.5</v>
      </c>
      <c r="I217" s="22">
        <v>-0.5</v>
      </c>
      <c r="J217" s="22">
        <v>-0.5</v>
      </c>
      <c r="K217" s="22">
        <v>-0.5</v>
      </c>
      <c r="L217" s="23"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39" priority="4" operator="containsText" text="n/a">
      <formula>NOT(ISERROR(SEARCH("n/a",B161)))</formula>
    </cfRule>
  </conditionalFormatting>
  <conditionalFormatting sqref="B173">
    <cfRule type="containsText" dxfId="238" priority="3" operator="containsText" text="n/a">
      <formula>NOT(ISERROR(SEARCH("n/a",B173)))</formula>
    </cfRule>
  </conditionalFormatting>
  <conditionalFormatting sqref="D161:L161">
    <cfRule type="containsText" dxfId="237"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36" priority="2" operator="containsText" text="n/a">
      <formula>NOT(ISERROR(SEARCH("n/a",T160)))</formula>
    </cfRule>
  </conditionalFormatting>
  <conditionalFormatting sqref="T159">
    <cfRule type="containsText" dxfId="235"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B65" sqref="B65"/>
    </sheetView>
  </sheetViews>
  <sheetFormatPr defaultColWidth="9.140625" defaultRowHeight="15" x14ac:dyDescent="0.25"/>
  <cols>
    <col min="1" max="1" width="29.7109375" style="92" customWidth="1"/>
    <col min="2" max="2" width="30.5703125" style="92" customWidth="1"/>
    <col min="3" max="3" width="22.7109375" style="92" customWidth="1"/>
    <col min="4" max="19" width="20.7109375" style="92" customWidth="1"/>
    <col min="20" max="23" width="20.7109375" style="104" customWidth="1"/>
    <col min="24" max="30" width="12.7109375" style="104" customWidth="1"/>
    <col min="31" max="47" width="12.7109375" style="92" customWidth="1"/>
    <col min="48"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491" t="s">
        <v>202</v>
      </c>
      <c r="O1" s="491" t="s">
        <v>203</v>
      </c>
      <c r="P1" s="491" t="s">
        <v>43</v>
      </c>
      <c r="Q1" s="491" t="s">
        <v>204</v>
      </c>
      <c r="R1" s="535" t="s">
        <v>66</v>
      </c>
      <c r="S1" s="535" t="s">
        <v>69</v>
      </c>
      <c r="T1" s="95" t="s">
        <v>62</v>
      </c>
      <c r="U1" s="95" t="s">
        <v>30</v>
      </c>
      <c r="V1" s="95" t="s">
        <v>33</v>
      </c>
      <c r="W1" s="95" t="s">
        <v>36</v>
      </c>
      <c r="X1"/>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492" t="s">
        <v>31</v>
      </c>
      <c r="O2" s="492" t="s">
        <v>31</v>
      </c>
      <c r="P2" s="492" t="s">
        <v>31</v>
      </c>
      <c r="Q2" s="492" t="s">
        <v>31</v>
      </c>
      <c r="R2" s="492" t="s">
        <v>31</v>
      </c>
      <c r="S2" s="492" t="s">
        <v>31</v>
      </c>
      <c r="T2" s="102" t="s">
        <v>31</v>
      </c>
      <c r="U2" s="102" t="s">
        <v>31</v>
      </c>
      <c r="V2" s="102" t="s">
        <v>31</v>
      </c>
      <c r="W2" s="102" t="s">
        <v>31</v>
      </c>
      <c r="X2"/>
      <c r="Y2" s="534"/>
      <c r="Z2"/>
      <c r="AC2" s="92"/>
      <c r="AD2" s="92"/>
    </row>
    <row r="3" spans="1:31" x14ac:dyDescent="0.25">
      <c r="A3" s="92" t="s">
        <v>902</v>
      </c>
      <c r="B3" s="102" t="s">
        <v>12</v>
      </c>
      <c r="C3" s="102" t="s">
        <v>48</v>
      </c>
      <c r="D3" s="105" t="s">
        <v>209</v>
      </c>
      <c r="E3" s="102" t="s">
        <v>210</v>
      </c>
      <c r="F3" s="102" t="s">
        <v>914</v>
      </c>
      <c r="G3" s="102" t="s">
        <v>908</v>
      </c>
      <c r="H3" s="102" t="s">
        <v>102</v>
      </c>
      <c r="I3" s="102" t="s">
        <v>56</v>
      </c>
      <c r="J3" t="s">
        <v>68</v>
      </c>
      <c r="K3" s="102" t="s">
        <v>212</v>
      </c>
      <c r="L3" s="102" t="s">
        <v>213</v>
      </c>
      <c r="M3" s="102" t="s">
        <v>53</v>
      </c>
      <c r="N3" s="492" t="s">
        <v>214</v>
      </c>
      <c r="O3" s="492" t="s">
        <v>215</v>
      </c>
      <c r="P3" s="492" t="s">
        <v>216</v>
      </c>
      <c r="Q3" s="492" t="s">
        <v>217</v>
      </c>
      <c r="R3" s="492" t="s">
        <v>67</v>
      </c>
      <c r="S3" s="492" t="s">
        <v>67</v>
      </c>
      <c r="T3" s="102" t="s">
        <v>226</v>
      </c>
      <c r="U3" s="92" t="s">
        <v>913</v>
      </c>
      <c r="V3" s="92" t="s">
        <v>34</v>
      </c>
      <c r="W3" s="92" t="s">
        <v>37</v>
      </c>
      <c r="X3"/>
      <c r="Y3" s="534"/>
      <c r="Z3"/>
      <c r="AA3"/>
      <c r="AB3" s="92"/>
      <c r="AC3" s="92"/>
      <c r="AD3" s="92"/>
    </row>
    <row r="4" spans="1:31" x14ac:dyDescent="0.25">
      <c r="A4" s="92" t="s">
        <v>42</v>
      </c>
      <c r="B4" s="102" t="s">
        <v>13</v>
      </c>
      <c r="C4" s="102" t="s">
        <v>28</v>
      </c>
      <c r="D4" s="105"/>
      <c r="E4" s="105"/>
      <c r="F4" s="102" t="s">
        <v>907</v>
      </c>
      <c r="G4" s="92" t="s">
        <v>776</v>
      </c>
      <c r="H4" s="102" t="s">
        <v>107</v>
      </c>
      <c r="I4" s="102" t="s">
        <v>151</v>
      </c>
      <c r="J4" t="s">
        <v>70</v>
      </c>
      <c r="K4" s="92" t="s">
        <v>911</v>
      </c>
      <c r="L4" s="102" t="s">
        <v>97</v>
      </c>
      <c r="M4" s="102"/>
      <c r="N4" s="492" t="s">
        <v>65</v>
      </c>
      <c r="O4" s="492"/>
      <c r="P4" s="105" t="s">
        <v>906</v>
      </c>
      <c r="Q4" s="492" t="s">
        <v>223</v>
      </c>
      <c r="R4" s="536" t="s">
        <v>224</v>
      </c>
      <c r="S4" s="537" t="s">
        <v>225</v>
      </c>
      <c r="T4" s="102" t="s">
        <v>218</v>
      </c>
      <c r="U4" s="92" t="s">
        <v>261</v>
      </c>
      <c r="V4" s="92" t="s">
        <v>166</v>
      </c>
      <c r="W4" s="92" t="s">
        <v>912</v>
      </c>
      <c r="X4"/>
      <c r="Y4" s="394"/>
      <c r="Z4"/>
      <c r="AB4"/>
      <c r="AC4"/>
      <c r="AD4" s="92"/>
    </row>
    <row r="5" spans="1:31" x14ac:dyDescent="0.25">
      <c r="A5" s="92" t="s">
        <v>44</v>
      </c>
      <c r="B5" s="102" t="s">
        <v>14</v>
      </c>
      <c r="C5" s="102"/>
      <c r="D5" s="102"/>
      <c r="E5" s="105"/>
      <c r="F5" s="102"/>
      <c r="G5" s="102" t="s">
        <v>909</v>
      </c>
      <c r="H5" s="102" t="s">
        <v>112</v>
      </c>
      <c r="I5" s="102"/>
      <c r="J5" t="s">
        <v>72</v>
      </c>
      <c r="K5" s="92" t="s">
        <v>915</v>
      </c>
      <c r="L5" s="102" t="s">
        <v>229</v>
      </c>
      <c r="M5" s="102"/>
      <c r="N5" s="492" t="s">
        <v>106</v>
      </c>
      <c r="O5" s="492"/>
      <c r="P5" s="492"/>
      <c r="Q5" s="492" t="s">
        <v>232</v>
      </c>
      <c r="R5" s="538" t="s">
        <v>233</v>
      </c>
      <c r="S5" s="537"/>
      <c r="T5" s="102" t="s">
        <v>894</v>
      </c>
      <c r="U5" s="92"/>
      <c r="V5" s="102"/>
      <c r="W5"/>
      <c r="Y5" s="394"/>
      <c r="Z5"/>
      <c r="AA5"/>
      <c r="AB5"/>
      <c r="AC5" s="104" t="s">
        <v>227</v>
      </c>
      <c r="AD5"/>
      <c r="AE5"/>
    </row>
    <row r="6" spans="1:31" x14ac:dyDescent="0.25">
      <c r="A6" s="102" t="s">
        <v>903</v>
      </c>
      <c r="B6" s="102" t="s">
        <v>15</v>
      </c>
      <c r="C6" s="102"/>
      <c r="E6" s="105"/>
      <c r="F6" s="102"/>
      <c r="G6" s="102" t="s">
        <v>910</v>
      </c>
      <c r="H6" s="102" t="s">
        <v>116</v>
      </c>
      <c r="I6" s="102"/>
      <c r="J6"/>
      <c r="K6" s="102" t="s">
        <v>248</v>
      </c>
      <c r="L6" s="102" t="s">
        <v>238</v>
      </c>
      <c r="M6" s="102"/>
      <c r="N6" s="492" t="s">
        <v>111</v>
      </c>
      <c r="O6" s="492"/>
      <c r="P6" s="492"/>
      <c r="Q6" s="102"/>
      <c r="R6" s="102"/>
      <c r="S6" s="109"/>
      <c r="T6" s="102" t="s">
        <v>916</v>
      </c>
      <c r="U6" s="92"/>
      <c r="W6"/>
      <c r="X6"/>
      <c r="Y6"/>
      <c r="AA6"/>
      <c r="AB6"/>
      <c r="AC6" s="104" t="s">
        <v>227</v>
      </c>
      <c r="AD6"/>
      <c r="AE6"/>
    </row>
    <row r="7" spans="1:31" x14ac:dyDescent="0.25">
      <c r="A7" s="102" t="s">
        <v>904</v>
      </c>
      <c r="B7" s="102"/>
      <c r="C7" s="102"/>
      <c r="D7" s="102"/>
      <c r="E7" s="105"/>
      <c r="G7" s="102" t="s">
        <v>86</v>
      </c>
      <c r="H7" s="114" t="s">
        <v>121</v>
      </c>
      <c r="I7" s="102"/>
      <c r="J7"/>
      <c r="K7" s="102"/>
      <c r="L7" s="102"/>
      <c r="M7" s="102"/>
      <c r="N7" s="492" t="s">
        <v>243</v>
      </c>
      <c r="O7" s="492"/>
      <c r="P7" s="492"/>
      <c r="Q7" s="102"/>
      <c r="R7" s="95"/>
      <c r="S7"/>
      <c r="T7" s="102" t="s">
        <v>918</v>
      </c>
      <c r="U7" s="102"/>
      <c r="W7"/>
      <c r="X7"/>
      <c r="Y7"/>
      <c r="Z7"/>
      <c r="AA7"/>
      <c r="AB7"/>
      <c r="AC7" s="104" t="s">
        <v>227</v>
      </c>
      <c r="AD7"/>
      <c r="AE7"/>
    </row>
    <row r="8" spans="1:31" x14ac:dyDescent="0.25">
      <c r="A8" s="102" t="s">
        <v>905</v>
      </c>
      <c r="B8" s="102"/>
      <c r="C8" s="102"/>
      <c r="D8" s="102"/>
      <c r="E8" s="102"/>
      <c r="G8" s="102" t="s">
        <v>919</v>
      </c>
      <c r="H8" s="114" t="s">
        <v>125</v>
      </c>
      <c r="I8" s="102"/>
      <c r="J8" s="102"/>
      <c r="K8" s="102"/>
      <c r="L8" s="102"/>
      <c r="M8" s="102"/>
      <c r="N8" s="102"/>
      <c r="O8" s="492"/>
      <c r="P8" s="492"/>
      <c r="Q8" s="102"/>
      <c r="R8" s="102"/>
      <c r="S8"/>
      <c r="T8" s="102" t="s">
        <v>702</v>
      </c>
      <c r="U8" s="102"/>
      <c r="V8"/>
      <c r="W8"/>
      <c r="X8"/>
      <c r="Y8"/>
      <c r="Z8"/>
      <c r="AA8"/>
      <c r="AB8"/>
      <c r="AC8" s="104" t="s">
        <v>227</v>
      </c>
      <c r="AD8"/>
      <c r="AE8"/>
    </row>
    <row r="9" spans="1:31" x14ac:dyDescent="0.25">
      <c r="A9" s="102"/>
      <c r="B9" s="102"/>
      <c r="D9" s="102"/>
      <c r="F9" s="102"/>
      <c r="G9" s="102"/>
      <c r="H9" s="102" t="s">
        <v>129</v>
      </c>
      <c r="I9" s="102"/>
      <c r="J9" s="102"/>
      <c r="K9" s="102"/>
      <c r="L9" s="102"/>
      <c r="M9" s="102"/>
      <c r="N9" s="102"/>
      <c r="O9" s="492"/>
      <c r="P9" s="492"/>
      <c r="Q9" s="102"/>
      <c r="R9" s="102"/>
      <c r="S9"/>
      <c r="T9" s="102" t="s">
        <v>191</v>
      </c>
      <c r="U9" s="102"/>
      <c r="V9"/>
      <c r="W9"/>
      <c r="X9"/>
      <c r="Y9"/>
      <c r="Z9"/>
      <c r="AA9"/>
      <c r="AB9"/>
      <c r="AC9" s="104" t="s">
        <v>227</v>
      </c>
      <c r="AD9"/>
      <c r="AE9"/>
    </row>
    <row r="10" spans="1:31" x14ac:dyDescent="0.25">
      <c r="A10" s="102"/>
      <c r="B10" s="102"/>
      <c r="D10" s="109"/>
      <c r="E10" s="105"/>
      <c r="F10" s="102"/>
      <c r="G10" s="102"/>
      <c r="H10" s="102" t="s">
        <v>131</v>
      </c>
      <c r="I10" s="102"/>
      <c r="J10" s="102"/>
      <c r="L10" s="102"/>
      <c r="M10" s="102"/>
      <c r="N10" s="102"/>
      <c r="O10" s="492"/>
      <c r="P10" s="492"/>
      <c r="Q10" s="102"/>
      <c r="R10" s="102"/>
      <c r="S10"/>
      <c r="T10" s="102" t="s">
        <v>917</v>
      </c>
      <c r="U10" s="102"/>
      <c r="V10"/>
      <c r="W10"/>
      <c r="X10"/>
      <c r="Y10"/>
      <c r="Z10"/>
      <c r="AA10"/>
      <c r="AB10"/>
      <c r="AC10" s="104" t="s">
        <v>227</v>
      </c>
      <c r="AD10"/>
      <c r="AE10"/>
    </row>
    <row r="11" spans="1:31" x14ac:dyDescent="0.25">
      <c r="A11" s="102"/>
      <c r="B11" s="102"/>
      <c r="D11" s="109"/>
      <c r="E11" s="102"/>
      <c r="F11" s="102"/>
      <c r="G11" s="102"/>
      <c r="H11" s="102" t="s">
        <v>133</v>
      </c>
      <c r="I11" s="102"/>
      <c r="J11" s="107"/>
      <c r="L11" s="102"/>
      <c r="M11" s="102"/>
      <c r="N11" s="102"/>
      <c r="O11" s="492"/>
      <c r="P11" s="492"/>
      <c r="Q11" s="102"/>
      <c r="R11" s="102"/>
      <c r="S11" s="109"/>
      <c r="T11" s="102"/>
      <c r="U11" s="102"/>
      <c r="V11"/>
      <c r="W11"/>
      <c r="X11"/>
      <c r="Y11"/>
      <c r="Z11"/>
      <c r="AA11"/>
      <c r="AB11"/>
      <c r="AD11"/>
      <c r="AE11"/>
    </row>
    <row r="12" spans="1:31" x14ac:dyDescent="0.25">
      <c r="B12" s="102"/>
      <c r="C12" s="102"/>
      <c r="D12" s="109"/>
      <c r="E12" s="102"/>
      <c r="G12" s="102"/>
      <c r="H12" s="102" t="s">
        <v>136</v>
      </c>
      <c r="I12" s="102"/>
      <c r="J12" s="107"/>
      <c r="L12" s="102"/>
      <c r="M12" s="102"/>
      <c r="N12" s="102"/>
      <c r="O12" s="492"/>
      <c r="P12" s="492"/>
      <c r="Q12" s="102"/>
      <c r="R12" s="102"/>
      <c r="S12" s="109"/>
      <c r="T12" s="102"/>
      <c r="U12" s="102"/>
      <c r="V12"/>
      <c r="W12"/>
      <c r="X12"/>
      <c r="Y12"/>
      <c r="Z12"/>
      <c r="AA12"/>
      <c r="AB12"/>
      <c r="AC12" s="104" t="s">
        <v>227</v>
      </c>
      <c r="AD12"/>
    </row>
    <row r="13" spans="1:31" x14ac:dyDescent="0.25">
      <c r="B13" s="102"/>
      <c r="G13" s="102"/>
      <c r="H13" s="92" t="s">
        <v>138</v>
      </c>
      <c r="I13" s="102"/>
      <c r="K13" s="102"/>
      <c r="L13" s="102"/>
      <c r="M13" s="102"/>
      <c r="N13" s="102"/>
      <c r="O13" s="492"/>
      <c r="P13" s="492"/>
      <c r="Q13" s="102"/>
      <c r="R13" s="102"/>
      <c r="S13" s="109"/>
      <c r="T13" s="102"/>
      <c r="U13"/>
      <c r="V13"/>
      <c r="W13"/>
      <c r="X13"/>
      <c r="Y13"/>
      <c r="Z13"/>
      <c r="AA13"/>
      <c r="AB13"/>
      <c r="AC13" s="104" t="s">
        <v>227</v>
      </c>
    </row>
    <row r="14" spans="1:31" x14ac:dyDescent="0.25">
      <c r="H14" s="92" t="s">
        <v>141</v>
      </c>
      <c r="O14" s="119"/>
      <c r="P14" s="119"/>
      <c r="R14" s="117"/>
      <c r="S14" s="117"/>
      <c r="T14" s="102"/>
      <c r="U14" s="117"/>
      <c r="V14" s="117"/>
      <c r="W14" s="117"/>
      <c r="X14" s="117"/>
      <c r="Y14" s="117"/>
      <c r="Z14" s="117"/>
      <c r="AA14" s="117"/>
      <c r="AB14" s="117"/>
    </row>
    <row r="15" spans="1:31" x14ac:dyDescent="0.25">
      <c r="O15" s="119"/>
      <c r="P15" s="119"/>
      <c r="S15" s="117"/>
      <c r="T15" s="102"/>
      <c r="U15" s="117"/>
      <c r="V15" s="117"/>
      <c r="W15" s="117"/>
      <c r="X15" s="117"/>
      <c r="Y15" s="117"/>
      <c r="Z15" s="117"/>
      <c r="AA15" s="117"/>
      <c r="AB15" s="117"/>
    </row>
    <row r="16" spans="1:31" x14ac:dyDescent="0.25">
      <c r="O16" s="119"/>
      <c r="P16" s="119"/>
      <c r="S16" s="117"/>
      <c r="T16" s="102"/>
      <c r="U16" s="117"/>
      <c r="V16" s="117"/>
      <c r="W16" s="117"/>
      <c r="X16" s="117"/>
      <c r="Y16" s="117"/>
      <c r="Z16" s="117"/>
      <c r="AA16" s="117"/>
      <c r="AB16" s="117"/>
    </row>
    <row r="17" spans="1:29" x14ac:dyDescent="0.25">
      <c r="G17" s="95"/>
      <c r="H17" s="115"/>
      <c r="I17" s="116"/>
      <c r="N17" s="102"/>
      <c r="O17" s="119"/>
      <c r="P17" s="119"/>
      <c r="S17" s="104"/>
      <c r="T17" s="102"/>
      <c r="U17" s="117"/>
      <c r="V17" s="117"/>
      <c r="W17" s="117"/>
      <c r="X17" s="117"/>
      <c r="Y17" s="117"/>
      <c r="Z17" s="117"/>
      <c r="AA17" s="117"/>
      <c r="AB17" s="117"/>
    </row>
    <row r="18" spans="1:29" x14ac:dyDescent="0.25">
      <c r="N18"/>
      <c r="O18" s="119"/>
      <c r="P18" s="119"/>
      <c r="S18" s="104"/>
      <c r="T18" s="102"/>
      <c r="U18" s="117"/>
      <c r="V18" s="117"/>
      <c r="W18" s="117"/>
      <c r="X18" s="117"/>
      <c r="Y18" s="117"/>
      <c r="Z18" s="117"/>
      <c r="AA18" s="117"/>
      <c r="AB18" s="117"/>
    </row>
    <row r="19" spans="1:29" ht="15.75" x14ac:dyDescent="0.25">
      <c r="A19" s="540" t="s">
        <v>207</v>
      </c>
      <c r="G19" s="118"/>
      <c r="H19" s="118"/>
      <c r="I19" s="119"/>
      <c r="N19"/>
      <c r="O19" s="119"/>
      <c r="P19" s="119"/>
      <c r="R19" s="117"/>
      <c r="S19" s="104"/>
      <c r="T19" s="102"/>
      <c r="U19" s="117"/>
      <c r="V19" s="117"/>
      <c r="W19" s="117"/>
      <c r="X19" s="117"/>
      <c r="Y19" s="117"/>
      <c r="Z19" s="117"/>
      <c r="AA19" s="117"/>
      <c r="AB19" s="117"/>
    </row>
    <row r="20" spans="1:29" ht="15.75" x14ac:dyDescent="0.25">
      <c r="A20" s="541" t="b" cm="1">
        <f t="array" ref="A20">IF(AND(OR('CoreFlex (LP)'!$O$17=D3),OR('CoreFlex (LP)'!$O$22=J3:J5)),0)</f>
        <v>0</v>
      </c>
      <c r="B20" s="539" t="s">
        <v>206</v>
      </c>
      <c r="G20" s="118"/>
      <c r="H20" s="118"/>
      <c r="I20" s="119"/>
      <c r="N20"/>
      <c r="O20" s="119"/>
      <c r="P20" s="119"/>
      <c r="R20" s="117"/>
      <c r="S20" s="104"/>
      <c r="T20" s="102"/>
      <c r="U20" s="117"/>
      <c r="V20" s="117"/>
      <c r="W20" s="117"/>
      <c r="X20" s="117"/>
      <c r="Y20" s="117"/>
      <c r="Z20" s="117"/>
      <c r="AA20" s="117"/>
      <c r="AB20" s="117"/>
    </row>
    <row r="21" spans="1:29" x14ac:dyDescent="0.25">
      <c r="N21"/>
      <c r="O21" s="119"/>
      <c r="P21" s="119"/>
      <c r="R21" s="117"/>
      <c r="S21" s="104"/>
      <c r="T21" s="102"/>
      <c r="U21" s="117"/>
      <c r="V21" s="117"/>
      <c r="W21" s="117"/>
      <c r="X21" s="117"/>
      <c r="Y21" s="117"/>
      <c r="Z21" s="117"/>
      <c r="AA21" s="117"/>
      <c r="AB21" s="117"/>
    </row>
    <row r="22" spans="1:29" x14ac:dyDescent="0.25">
      <c r="E22"/>
      <c r="F22"/>
      <c r="G22"/>
      <c r="I22"/>
      <c r="J22"/>
      <c r="N22"/>
      <c r="O22" s="119"/>
      <c r="P22" s="119"/>
      <c r="S22" s="104"/>
      <c r="T22" s="102"/>
      <c r="U22"/>
      <c r="V22"/>
      <c r="W22"/>
      <c r="X22"/>
      <c r="Y22"/>
      <c r="Z22"/>
      <c r="AA22"/>
      <c r="AB22"/>
      <c r="AC22" s="104" t="s">
        <v>227</v>
      </c>
    </row>
    <row r="23" spans="1:29" x14ac:dyDescent="0.25">
      <c r="E23"/>
      <c r="F23"/>
      <c r="G23"/>
      <c r="J23"/>
      <c r="O23" s="119"/>
      <c r="P23" s="119"/>
      <c r="S23"/>
      <c r="T23" s="102"/>
      <c r="U23"/>
      <c r="V23"/>
      <c r="W23"/>
      <c r="X23"/>
      <c r="Y23"/>
      <c r="Z23"/>
      <c r="AA23"/>
      <c r="AB23"/>
      <c r="AC23" s="104" t="s">
        <v>227</v>
      </c>
    </row>
    <row r="24" spans="1:29" x14ac:dyDescent="0.25">
      <c r="E24"/>
      <c r="F24"/>
      <c r="G24"/>
      <c r="J24"/>
      <c r="O24" s="119"/>
      <c r="P24" s="119"/>
      <c r="S24"/>
      <c r="T24" s="102"/>
      <c r="U24"/>
      <c r="V24"/>
      <c r="W24"/>
      <c r="X24"/>
      <c r="Y24"/>
      <c r="Z24"/>
      <c r="AA24"/>
      <c r="AB24"/>
      <c r="AC24" s="104" t="s">
        <v>227</v>
      </c>
    </row>
    <row r="25" spans="1:29" x14ac:dyDescent="0.25">
      <c r="E25"/>
      <c r="F25"/>
      <c r="G25"/>
      <c r="J25"/>
      <c r="O25" s="119"/>
      <c r="P25" s="493"/>
      <c r="S25"/>
      <c r="T25" s="102"/>
      <c r="U25"/>
      <c r="V25"/>
      <c r="W25"/>
      <c r="X25"/>
      <c r="Y25"/>
      <c r="Z25"/>
      <c r="AA25"/>
      <c r="AB25"/>
      <c r="AC25" s="104" t="s">
        <v>227</v>
      </c>
    </row>
    <row r="26" spans="1:29" x14ac:dyDescent="0.25">
      <c r="E26"/>
      <c r="F26"/>
      <c r="G26"/>
      <c r="J26"/>
      <c r="O26" s="119"/>
      <c r="P26" s="119"/>
      <c r="S26"/>
      <c r="T26" s="102"/>
      <c r="U26"/>
      <c r="V26"/>
      <c r="W26"/>
      <c r="X26"/>
      <c r="Y26"/>
      <c r="Z26"/>
      <c r="AA26"/>
      <c r="AB26"/>
      <c r="AC26" s="104" t="s">
        <v>227</v>
      </c>
    </row>
    <row r="27" spans="1:29" x14ac:dyDescent="0.25">
      <c r="A27" s="102"/>
      <c r="B27" s="102"/>
      <c r="O27" s="119"/>
      <c r="P27" s="119"/>
      <c r="S27"/>
      <c r="U27"/>
      <c r="V27"/>
      <c r="W27"/>
      <c r="X27"/>
      <c r="Y27"/>
      <c r="Z27"/>
      <c r="AA27"/>
      <c r="AB27"/>
      <c r="AC27" s="104" t="s">
        <v>227</v>
      </c>
    </row>
    <row r="28" spans="1:29" x14ac:dyDescent="0.25">
      <c r="A28" s="102"/>
      <c r="B28" s="102"/>
      <c r="O28" s="119"/>
      <c r="P28" s="119"/>
      <c r="S28"/>
      <c r="U28"/>
      <c r="V28"/>
      <c r="W28"/>
      <c r="X28"/>
      <c r="Y28"/>
      <c r="Z28"/>
      <c r="AA28"/>
      <c r="AB28"/>
      <c r="AC28" s="104" t="s">
        <v>227</v>
      </c>
    </row>
    <row r="29" spans="1:29" x14ac:dyDescent="0.25">
      <c r="A29"/>
      <c r="B29"/>
      <c r="N29" s="121"/>
      <c r="O29" s="119"/>
      <c r="P29" s="119"/>
      <c r="S29"/>
      <c r="U29"/>
      <c r="V29"/>
      <c r="W29"/>
      <c r="X29"/>
      <c r="Y29"/>
      <c r="Z29"/>
      <c r="AA29"/>
      <c r="AB29"/>
      <c r="AC29" s="104" t="s">
        <v>227</v>
      </c>
    </row>
    <row r="30" spans="1:29" x14ac:dyDescent="0.25">
      <c r="A30"/>
      <c r="B30"/>
      <c r="N30" s="121"/>
      <c r="O30" s="119"/>
      <c r="P30" s="119"/>
      <c r="S30"/>
      <c r="U30"/>
      <c r="V30"/>
      <c r="W30"/>
      <c r="X30"/>
      <c r="Y30"/>
      <c r="Z30"/>
      <c r="AA30"/>
      <c r="AB30"/>
      <c r="AC30" s="104" t="s">
        <v>227</v>
      </c>
    </row>
    <row r="31" spans="1:29" x14ac:dyDescent="0.25">
      <c r="O31" s="493"/>
      <c r="P31" s="493"/>
      <c r="Q31"/>
      <c r="R31"/>
      <c r="S31"/>
      <c r="T31"/>
      <c r="U31"/>
      <c r="V31"/>
      <c r="W31"/>
      <c r="X31"/>
      <c r="Y31"/>
      <c r="Z31"/>
      <c r="AA31"/>
      <c r="AB31"/>
      <c r="AC31" s="104" t="s">
        <v>227</v>
      </c>
    </row>
    <row r="32" spans="1:29" x14ac:dyDescent="0.25">
      <c r="L32"/>
      <c r="O32" s="493"/>
      <c r="P32" s="493"/>
      <c r="Q32"/>
      <c r="R32"/>
      <c r="S32"/>
      <c r="T32"/>
      <c r="U32" s="123"/>
      <c r="V32"/>
      <c r="W32"/>
      <c r="X32"/>
      <c r="Y32" s="123"/>
      <c r="Z32"/>
      <c r="AA32"/>
      <c r="AB32"/>
    </row>
    <row r="33" spans="1:42" x14ac:dyDescent="0.25">
      <c r="F33" s="123"/>
      <c r="L33" s="123"/>
      <c r="O33" s="493"/>
      <c r="P33" s="493"/>
      <c r="Q33" s="123"/>
      <c r="R33"/>
      <c r="S33"/>
      <c r="T33"/>
      <c r="U33" s="92"/>
      <c r="V33" s="92"/>
      <c r="W33" s="92"/>
      <c r="Y33" s="92"/>
      <c r="Z33" s="92"/>
      <c r="AA33" s="92"/>
      <c r="AG33" s="123"/>
      <c r="AH33"/>
      <c r="AI33"/>
      <c r="AJ33"/>
      <c r="AK33" s="123"/>
      <c r="AL33"/>
      <c r="AM33"/>
      <c r="AN33"/>
      <c r="AO33" s="104"/>
      <c r="AP33" s="104"/>
    </row>
    <row r="34" spans="1:42" x14ac:dyDescent="0.25">
      <c r="A34" s="123" t="s">
        <v>277</v>
      </c>
      <c r="C34" s="102"/>
      <c r="D34" s="102"/>
      <c r="O34" s="493"/>
      <c r="P34" s="493"/>
      <c r="T34"/>
      <c r="U34" s="92"/>
      <c r="V34" s="92"/>
      <c r="W34" s="92"/>
      <c r="Y34" s="92"/>
      <c r="Z34" s="92"/>
      <c r="AA34" s="92"/>
      <c r="AG34"/>
      <c r="AH34"/>
      <c r="AI34"/>
      <c r="AJ34"/>
      <c r="AK34"/>
      <c r="AL34"/>
      <c r="AM34"/>
      <c r="AN34"/>
      <c r="AO34" s="104"/>
      <c r="AP34" s="104"/>
    </row>
    <row r="35" spans="1:42" x14ac:dyDescent="0.25">
      <c r="A35" s="101" t="s">
        <v>920</v>
      </c>
      <c r="B35" s="576" t="str">
        <f>IF('CoreFlex (LP)'!O21=G8,NA(),"")</f>
        <v/>
      </c>
      <c r="C35" s="102"/>
      <c r="D35" s="102"/>
      <c r="O35" s="493"/>
      <c r="P35" s="493"/>
      <c r="T35"/>
      <c r="U35" s="92"/>
      <c r="V35" s="92"/>
      <c r="W35" s="92"/>
      <c r="Y35" s="92"/>
      <c r="Z35" s="92"/>
      <c r="AA35" s="92"/>
      <c r="AG35"/>
      <c r="AH35"/>
      <c r="AI35"/>
      <c r="AJ35"/>
      <c r="AK35"/>
      <c r="AL35"/>
      <c r="AM35"/>
      <c r="AN35"/>
      <c r="AO35" s="104"/>
      <c r="AP35" s="104"/>
    </row>
    <row r="36" spans="1:42" x14ac:dyDescent="0.25">
      <c r="A36" s="124" t="s">
        <v>921</v>
      </c>
      <c r="B36" s="577" t="str">
        <f>IF(AND('CoreFlex (LP)'!O11=B6,OR('CoreFlex (LP)'!O22='Feed(CoreFlex)'!J5)),NA(),"")</f>
        <v/>
      </c>
      <c r="C36" s="92" t="s">
        <v>922</v>
      </c>
      <c r="D36" s="102"/>
      <c r="J36" s="102"/>
      <c r="K36" s="102"/>
      <c r="L36" s="102"/>
      <c r="O36" s="492"/>
      <c r="P36" s="492"/>
      <c r="Q36" s="102"/>
      <c r="U36" s="92"/>
      <c r="V36" s="92"/>
      <c r="W36" s="92"/>
      <c r="Y36" s="92"/>
      <c r="Z36" s="92"/>
      <c r="AA36" s="92"/>
      <c r="AI36" s="104"/>
      <c r="AJ36" s="104"/>
      <c r="AK36" s="102"/>
      <c r="AN36" s="104"/>
      <c r="AO36" s="104"/>
      <c r="AP36" s="104"/>
    </row>
    <row r="37" spans="1:42" x14ac:dyDescent="0.25">
      <c r="A37" s="124"/>
      <c r="B37" s="576"/>
      <c r="C37" s="102"/>
      <c r="D37" s="102"/>
      <c r="I37"/>
      <c r="J37"/>
      <c r="K37" s="102"/>
      <c r="O37" s="492"/>
      <c r="P37" s="492"/>
      <c r="Q37" s="102"/>
      <c r="U37" s="92"/>
      <c r="W37" s="92"/>
      <c r="Y37" s="92"/>
      <c r="AA37" s="92"/>
      <c r="AG37" s="102"/>
      <c r="AJ37" s="104"/>
      <c r="AK37" s="104"/>
      <c r="AL37" s="104"/>
      <c r="AM37" s="104"/>
      <c r="AN37" s="104"/>
      <c r="AO37" s="104"/>
      <c r="AP37" s="104"/>
    </row>
    <row r="38" spans="1:42" x14ac:dyDescent="0.25">
      <c r="A38" s="101"/>
      <c r="B38" s="577"/>
      <c r="D38" s="102"/>
      <c r="I38" s="102"/>
      <c r="J38" s="102"/>
      <c r="K38" s="102"/>
      <c r="O38" s="492"/>
      <c r="P38" s="492"/>
      <c r="Q38" s="102"/>
      <c r="U38" s="92"/>
      <c r="V38" s="92"/>
      <c r="W38" s="92"/>
      <c r="Y38" s="92"/>
      <c r="Z38" s="92"/>
      <c r="AA38" s="92"/>
      <c r="AH38"/>
      <c r="AI38" s="104"/>
      <c r="AJ38" s="104"/>
      <c r="AK38" s="104"/>
      <c r="AL38"/>
      <c r="AM38"/>
      <c r="AN38"/>
      <c r="AO38" s="104"/>
      <c r="AP38" s="104"/>
    </row>
    <row r="39" spans="1:42" x14ac:dyDescent="0.25">
      <c r="A39" s="113"/>
      <c r="B39" s="576"/>
      <c r="C39" s="102"/>
      <c r="D39" s="102"/>
      <c r="I39" s="102"/>
      <c r="J39" s="102"/>
      <c r="K39" s="102"/>
      <c r="O39" s="492"/>
      <c r="P39" s="492"/>
      <c r="Q39" s="102"/>
      <c r="U39" s="92"/>
      <c r="W39" s="92"/>
      <c r="Y39" s="92"/>
      <c r="AA39" s="92"/>
      <c r="AG39"/>
      <c r="AH39"/>
      <c r="AI39"/>
      <c r="AJ39"/>
      <c r="AK39"/>
      <c r="AL39"/>
      <c r="AM39"/>
      <c r="AN39"/>
      <c r="AO39" s="104"/>
      <c r="AP39" s="104"/>
    </row>
    <row r="40" spans="1:42" x14ac:dyDescent="0.25">
      <c r="A40" s="113"/>
      <c r="B40" s="576"/>
      <c r="C40" s="125"/>
      <c r="D40" s="102"/>
      <c r="E40" s="102"/>
      <c r="I40" s="102"/>
      <c r="J40" s="102"/>
      <c r="L40"/>
      <c r="O40" s="492"/>
      <c r="P40" s="492"/>
      <c r="Q40" s="102"/>
      <c r="U40" s="92"/>
      <c r="W40" s="92"/>
      <c r="Y40" s="92"/>
      <c r="AA40" s="92"/>
      <c r="AH40"/>
      <c r="AI40"/>
      <c r="AJ40"/>
      <c r="AK40"/>
      <c r="AL40"/>
      <c r="AM40"/>
      <c r="AN40"/>
      <c r="AO40" s="104"/>
      <c r="AP40" s="104"/>
    </row>
    <row r="41" spans="1:42" x14ac:dyDescent="0.25">
      <c r="A41" s="126"/>
      <c r="B41" s="576"/>
      <c r="C41" s="125"/>
      <c r="D41" s="102"/>
      <c r="K41"/>
      <c r="L41"/>
      <c r="M41"/>
      <c r="N41"/>
      <c r="O41" s="119"/>
      <c r="P41" s="119"/>
      <c r="Q41" s="102"/>
      <c r="U41" s="92"/>
      <c r="W41" s="92"/>
      <c r="Y41" s="92"/>
      <c r="AA41" s="92"/>
      <c r="AH41"/>
      <c r="AI41"/>
      <c r="AJ41"/>
      <c r="AK41"/>
      <c r="AL41"/>
      <c r="AM41"/>
      <c r="AN41"/>
      <c r="AO41" s="104"/>
      <c r="AP41" s="104"/>
    </row>
    <row r="42" spans="1:42" x14ac:dyDescent="0.25">
      <c r="A42" s="126"/>
      <c r="B42" s="577"/>
      <c r="D42" s="102"/>
      <c r="K42"/>
      <c r="L42"/>
      <c r="M42"/>
      <c r="N42"/>
      <c r="O42" s="119"/>
      <c r="P42" s="119"/>
      <c r="Q42" s="102"/>
      <c r="S42" s="102"/>
      <c r="U42" s="92"/>
      <c r="W42" s="92"/>
      <c r="Y42" s="92"/>
      <c r="AA42" s="92"/>
      <c r="AG42"/>
      <c r="AH42"/>
      <c r="AI42"/>
      <c r="AJ42"/>
      <c r="AK42"/>
      <c r="AL42"/>
      <c r="AM42"/>
      <c r="AN42"/>
      <c r="AO42" s="104"/>
      <c r="AP42" s="104"/>
    </row>
    <row r="43" spans="1:42" x14ac:dyDescent="0.25">
      <c r="A43" s="126"/>
      <c r="B43" s="577"/>
      <c r="D43" s="102"/>
      <c r="K43"/>
      <c r="L43"/>
      <c r="M43"/>
      <c r="N43"/>
      <c r="O43" s="119"/>
      <c r="P43" s="119"/>
      <c r="Q43" s="102"/>
      <c r="R43"/>
      <c r="S43" s="102"/>
      <c r="U43" s="92"/>
      <c r="W43" s="92"/>
      <c r="Y43" s="92"/>
      <c r="AA43" s="92"/>
      <c r="AG43" s="575"/>
      <c r="AH43"/>
      <c r="AI43"/>
      <c r="AJ43"/>
      <c r="AK43"/>
      <c r="AL43"/>
      <c r="AM43"/>
      <c r="AN43"/>
      <c r="AO43" s="104"/>
      <c r="AP43" s="104"/>
    </row>
    <row r="44" spans="1:42" x14ac:dyDescent="0.25">
      <c r="A44" s="101"/>
      <c r="B44" s="578"/>
      <c r="I44"/>
      <c r="J44"/>
      <c r="K44"/>
      <c r="L44"/>
      <c r="O44" s="119"/>
      <c r="P44" s="119"/>
      <c r="Q44" s="102"/>
      <c r="S44" s="102"/>
      <c r="U44" s="92"/>
      <c r="W44" s="92"/>
      <c r="Y44" s="92"/>
      <c r="AA44" s="92"/>
      <c r="AG44" s="575"/>
      <c r="AH44"/>
      <c r="AI44"/>
      <c r="AJ44"/>
      <c r="AK44"/>
      <c r="AL44"/>
      <c r="AM44"/>
      <c r="AN44"/>
      <c r="AO44" s="104"/>
      <c r="AP44" s="104"/>
    </row>
    <row r="45" spans="1:42" x14ac:dyDescent="0.25">
      <c r="A45" s="101"/>
      <c r="B45" s="577"/>
      <c r="I45"/>
      <c r="J45"/>
      <c r="K45"/>
      <c r="O45" s="119"/>
      <c r="P45" s="119"/>
      <c r="Q45" s="102"/>
      <c r="S45" s="102"/>
      <c r="U45" s="92"/>
      <c r="W45" s="92"/>
      <c r="Y45" s="92"/>
      <c r="AA45" s="92"/>
      <c r="AG45"/>
      <c r="AH45"/>
      <c r="AI45"/>
      <c r="AJ45"/>
      <c r="AK45"/>
      <c r="AL45"/>
      <c r="AM45"/>
      <c r="AN45"/>
      <c r="AO45" s="104"/>
      <c r="AP45" s="104"/>
    </row>
    <row r="46" spans="1:42" x14ac:dyDescent="0.25">
      <c r="A46" s="128" t="s">
        <v>531</v>
      </c>
      <c r="B46" s="579">
        <f>SUM(B35:B45)</f>
        <v>0</v>
      </c>
      <c r="E46" s="119"/>
      <c r="I46"/>
      <c r="J46"/>
      <c r="K46"/>
      <c r="O46" s="119"/>
      <c r="P46" s="119"/>
      <c r="Q46" s="102"/>
      <c r="S46" s="102"/>
      <c r="U46" s="92"/>
      <c r="W46" s="92"/>
      <c r="Y46" s="92"/>
      <c r="AA46" s="92"/>
      <c r="AH46" s="104"/>
      <c r="AJ46" s="104"/>
      <c r="AK46" s="104"/>
      <c r="AL46" s="104"/>
      <c r="AM46" s="104"/>
      <c r="AN46" s="104"/>
      <c r="AO46" s="104"/>
      <c r="AP46" s="104"/>
    </row>
    <row r="47" spans="1:42" x14ac:dyDescent="0.25">
      <c r="A47" s="123"/>
      <c r="B47" s="123"/>
      <c r="C47"/>
      <c r="E47" s="119"/>
      <c r="I47"/>
      <c r="J47"/>
      <c r="K47"/>
      <c r="O47" s="119"/>
      <c r="P47" s="119"/>
      <c r="Q47" s="102"/>
      <c r="S47" s="102"/>
      <c r="U47" s="92"/>
      <c r="W47" s="92"/>
      <c r="Y47" s="92"/>
      <c r="AA47" s="92"/>
      <c r="AH47" s="104"/>
      <c r="AJ47" s="104"/>
      <c r="AK47" s="104"/>
      <c r="AL47" s="104"/>
      <c r="AM47" s="104"/>
      <c r="AN47" s="104"/>
      <c r="AO47" s="104"/>
      <c r="AP47" s="104"/>
    </row>
    <row r="48" spans="1:42" x14ac:dyDescent="0.25">
      <c r="A48" s="102"/>
      <c r="B48" s="102"/>
      <c r="C48"/>
      <c r="I48"/>
      <c r="J48"/>
      <c r="K48"/>
      <c r="O48" s="119"/>
      <c r="P48" s="119"/>
      <c r="Q48" s="102"/>
      <c r="S48" s="102"/>
      <c r="U48" s="92"/>
      <c r="W48" s="92"/>
      <c r="Y48" s="92"/>
      <c r="AA48" s="92"/>
      <c r="AH48" s="104"/>
      <c r="AJ48" s="104"/>
      <c r="AK48" s="104"/>
      <c r="AL48" s="104"/>
      <c r="AM48" s="104"/>
      <c r="AN48" s="104"/>
      <c r="AO48" s="104"/>
      <c r="AP48" s="104"/>
    </row>
    <row r="49" spans="1:42" x14ac:dyDescent="0.25">
      <c r="A49" s="102"/>
      <c r="B49" s="102"/>
      <c r="C49"/>
      <c r="J49"/>
      <c r="K49"/>
      <c r="O49" s="119"/>
      <c r="P49" s="119"/>
      <c r="Q49" s="102"/>
      <c r="S49" s="102"/>
      <c r="U49" s="92"/>
      <c r="W49" s="92"/>
      <c r="Y49" s="92"/>
      <c r="AA49" s="92"/>
      <c r="AH49" s="104"/>
      <c r="AJ49" s="104"/>
      <c r="AK49" s="104"/>
      <c r="AL49" s="104"/>
      <c r="AM49" s="104"/>
      <c r="AN49" s="104"/>
      <c r="AO49" s="104"/>
      <c r="AP49" s="104"/>
    </row>
    <row r="50" spans="1:42" x14ac:dyDescent="0.25">
      <c r="A50" s="102"/>
      <c r="B50" s="102"/>
      <c r="C50"/>
      <c r="J50"/>
      <c r="K50"/>
      <c r="O50" s="119"/>
      <c r="P50" s="119"/>
      <c r="Q50" s="102"/>
      <c r="S50" s="102"/>
      <c r="U50" s="92"/>
      <c r="W50" s="92"/>
      <c r="Y50" s="92"/>
      <c r="AA50" s="92"/>
      <c r="AH50" s="104"/>
      <c r="AJ50" s="104"/>
      <c r="AK50" s="104"/>
      <c r="AL50" s="104"/>
      <c r="AM50" s="104"/>
      <c r="AN50" s="104"/>
      <c r="AO50" s="104"/>
      <c r="AP50" s="104"/>
    </row>
    <row r="51" spans="1:42" x14ac:dyDescent="0.25">
      <c r="A51" s="102"/>
      <c r="B51" s="102"/>
      <c r="C51"/>
      <c r="J51"/>
      <c r="K51"/>
      <c r="O51" s="119"/>
      <c r="P51" s="119"/>
      <c r="Q51" s="102"/>
      <c r="S51" s="102"/>
      <c r="U51" s="92"/>
      <c r="W51" s="92"/>
      <c r="Y51" s="92"/>
      <c r="AA51" s="92"/>
      <c r="AH51" s="104"/>
      <c r="AJ51" s="104"/>
      <c r="AK51" s="104"/>
      <c r="AL51" s="104"/>
      <c r="AM51" s="104"/>
      <c r="AN51" s="104"/>
      <c r="AO51" s="104"/>
      <c r="AP51" s="104"/>
    </row>
    <row r="52" spans="1:42" x14ac:dyDescent="0.25">
      <c r="A52" s="102"/>
      <c r="B52" s="102"/>
      <c r="C52"/>
      <c r="J52"/>
      <c r="K52"/>
      <c r="O52" s="119"/>
      <c r="P52" s="119"/>
      <c r="Q52" s="102"/>
      <c r="S52" s="102"/>
      <c r="U52" s="92"/>
      <c r="W52" s="92"/>
      <c r="Y52" s="92"/>
      <c r="AA52" s="129"/>
      <c r="AH52" s="104"/>
      <c r="AJ52" s="104"/>
      <c r="AK52" s="104"/>
      <c r="AL52" s="104"/>
      <c r="AM52" s="104"/>
      <c r="AN52" s="104"/>
      <c r="AO52" s="104"/>
      <c r="AP52" s="104"/>
    </row>
    <row r="53" spans="1:42" x14ac:dyDescent="0.25">
      <c r="A53" s="102"/>
      <c r="B53" s="102"/>
      <c r="O53" s="119"/>
      <c r="P53" s="119"/>
      <c r="Q53" s="102"/>
      <c r="S53" s="102"/>
      <c r="U53" s="92"/>
      <c r="W53" s="92"/>
      <c r="Y53" s="92"/>
      <c r="AA53" s="92"/>
      <c r="AH53" s="104"/>
      <c r="AJ53" s="104"/>
      <c r="AK53" s="104"/>
      <c r="AL53" s="104"/>
      <c r="AM53" s="104"/>
      <c r="AN53" s="104"/>
      <c r="AO53" s="104"/>
      <c r="AP53" s="104"/>
    </row>
    <row r="54" spans="1:42" x14ac:dyDescent="0.25">
      <c r="A54" s="102"/>
      <c r="B54" s="102"/>
      <c r="O54" s="119"/>
      <c r="P54" s="119"/>
      <c r="Q54" s="102"/>
      <c r="S54" s="102"/>
      <c r="U54" s="92"/>
      <c r="W54" s="92"/>
      <c r="AH54" s="104"/>
      <c r="AJ54" s="104"/>
      <c r="AK54" s="104"/>
      <c r="AL54" s="104"/>
      <c r="AM54" s="104"/>
      <c r="AN54" s="104"/>
      <c r="AO54" s="104"/>
      <c r="AP54" s="104"/>
    </row>
    <row r="55" spans="1:42" x14ac:dyDescent="0.25">
      <c r="O55" s="119"/>
      <c r="P55" s="119"/>
      <c r="Q55" s="102"/>
      <c r="S55" s="102"/>
      <c r="U55" s="92"/>
      <c r="W55" s="92"/>
      <c r="AJ55" s="104"/>
      <c r="AK55" s="104"/>
      <c r="AL55" s="104"/>
      <c r="AM55" s="104"/>
      <c r="AN55" s="104"/>
      <c r="AO55" s="104"/>
      <c r="AP55" s="104"/>
    </row>
    <row r="56" spans="1:42" x14ac:dyDescent="0.25">
      <c r="O56" s="119"/>
      <c r="P56" s="119"/>
      <c r="Q56" s="102"/>
      <c r="S56" s="102"/>
      <c r="AH56" s="104"/>
      <c r="AJ56" s="104"/>
      <c r="AK56" s="104"/>
      <c r="AL56" s="104"/>
      <c r="AM56" s="104"/>
      <c r="AN56" s="104"/>
      <c r="AO56" s="104"/>
      <c r="AP56" s="104"/>
    </row>
    <row r="57" spans="1:42" x14ac:dyDescent="0.25">
      <c r="O57" s="119"/>
      <c r="P57" s="119"/>
      <c r="Q57" s="102"/>
      <c r="S57" s="102"/>
      <c r="AH57" s="104"/>
      <c r="AJ57" s="104"/>
      <c r="AK57" s="104"/>
      <c r="AL57" s="104"/>
      <c r="AM57" s="104"/>
      <c r="AN57" s="104"/>
      <c r="AO57" s="104"/>
      <c r="AP57" s="104"/>
    </row>
    <row r="58" spans="1:42" ht="15.75" thickBot="1" x14ac:dyDescent="0.3">
      <c r="O58" s="119"/>
      <c r="P58" s="119"/>
      <c r="Q58" s="102"/>
      <c r="S58" s="102"/>
      <c r="AH58" s="104"/>
      <c r="AJ58" s="104"/>
      <c r="AK58" s="104"/>
      <c r="AL58" s="104"/>
      <c r="AM58" s="104"/>
      <c r="AN58" s="104"/>
      <c r="AO58" s="104"/>
      <c r="AP58" s="104"/>
    </row>
    <row r="59" spans="1:42" ht="15.75" thickBot="1" x14ac:dyDescent="0.3">
      <c r="B59" s="760" t="s">
        <v>618</v>
      </c>
      <c r="C59" s="761"/>
      <c r="D59" s="761"/>
      <c r="E59" s="762"/>
      <c r="F59" s="568"/>
      <c r="G59" s="568"/>
      <c r="I59" s="763" t="s">
        <v>618</v>
      </c>
      <c r="J59" s="764"/>
      <c r="K59" s="764"/>
      <c r="L59" s="764"/>
      <c r="O59" s="119"/>
      <c r="P59" s="119"/>
      <c r="Q59" s="102"/>
      <c r="S59" s="104"/>
      <c r="AH59" s="104"/>
      <c r="AJ59" s="104"/>
      <c r="AK59" s="104"/>
      <c r="AL59" s="104"/>
      <c r="AM59" s="104"/>
      <c r="AN59" s="104"/>
      <c r="AO59" s="104"/>
      <c r="AP59" s="104"/>
    </row>
    <row r="60" spans="1:42" ht="15.75" thickBot="1" x14ac:dyDescent="0.3">
      <c r="B60" s="584" t="s">
        <v>621</v>
      </c>
      <c r="C60" s="585" t="s">
        <v>209</v>
      </c>
      <c r="D60" s="585" t="s">
        <v>220</v>
      </c>
      <c r="E60" s="586" t="s">
        <v>176</v>
      </c>
      <c r="F60" s="571"/>
      <c r="G60" s="135" t="s">
        <v>622</v>
      </c>
      <c r="I60" s="136" t="s">
        <v>621</v>
      </c>
      <c r="J60" s="137" t="s">
        <v>209</v>
      </c>
      <c r="K60" s="137" t="s">
        <v>220</v>
      </c>
      <c r="L60" s="572" t="s">
        <v>176</v>
      </c>
      <c r="M60" s="571"/>
      <c r="N60" s="138">
        <v>0</v>
      </c>
      <c r="O60" s="119"/>
      <c r="P60" s="119"/>
      <c r="S60" s="104"/>
      <c r="AG60" s="104"/>
      <c r="AJ60" s="104"/>
      <c r="AK60" s="104"/>
      <c r="AL60" s="104"/>
      <c r="AM60" s="104"/>
      <c r="AN60" s="104"/>
      <c r="AO60" s="104"/>
      <c r="AP60" s="104"/>
    </row>
    <row r="61" spans="1:42" x14ac:dyDescent="0.25">
      <c r="B61" s="566">
        <f>'CoreFlex (LP)'!B11</f>
        <v>7</v>
      </c>
      <c r="C61" s="567">
        <f>'CoreFlex (LP)'!C11</f>
        <v>94.5</v>
      </c>
      <c r="D61" s="567"/>
      <c r="E61" s="567"/>
      <c r="F61" s="565"/>
      <c r="G61" s="368" t="e">
        <f>SUM('CoreFlex (LP)'!P12:P35)+B46</f>
        <v>#N/A</v>
      </c>
      <c r="H61" s="592">
        <v>1</v>
      </c>
      <c r="I61" s="144">
        <f t="shared" ref="I61:I83" si="0">B61</f>
        <v>7</v>
      </c>
      <c r="J61" s="145" t="e">
        <f t="shared" ref="J61:J83" si="1">C61+$G$61</f>
        <v>#N/A</v>
      </c>
      <c r="K61" s="145"/>
      <c r="L61" s="145"/>
      <c r="M61" s="573"/>
      <c r="N61" s="142" cm="1">
        <f t="array" ref="N61:N83">I61:I83</f>
        <v>7</v>
      </c>
      <c r="O61" s="119"/>
      <c r="P61" s="119"/>
      <c r="S61" s="104"/>
      <c r="AH61" s="104"/>
      <c r="AJ61" s="104"/>
      <c r="AK61" s="104"/>
      <c r="AL61" s="104"/>
      <c r="AM61" s="104"/>
      <c r="AN61" s="104"/>
      <c r="AO61" s="104"/>
      <c r="AP61" s="104"/>
    </row>
    <row r="62" spans="1:42" x14ac:dyDescent="0.25">
      <c r="B62" s="147">
        <f>'CoreFlex (LP)'!B12</f>
        <v>7.125</v>
      </c>
      <c r="C62" s="148">
        <f>'CoreFlex (LP)'!C12</f>
        <v>94.875</v>
      </c>
      <c r="D62" s="148"/>
      <c r="E62" s="148"/>
      <c r="F62" s="565"/>
      <c r="G62" s="92" t="s">
        <v>625</v>
      </c>
      <c r="H62" s="592">
        <v>2</v>
      </c>
      <c r="I62" s="150">
        <f t="shared" si="0"/>
        <v>7.125</v>
      </c>
      <c r="J62" s="151" t="e">
        <f t="shared" si="1"/>
        <v>#N/A</v>
      </c>
      <c r="K62" s="151"/>
      <c r="L62" s="151"/>
      <c r="M62" s="573"/>
      <c r="N62" s="142">
        <v>7.125</v>
      </c>
      <c r="O62" s="119"/>
      <c r="P62" s="119"/>
      <c r="S62" s="104"/>
      <c r="AH62" s="104"/>
      <c r="AJ62" s="104"/>
      <c r="AK62" s="104"/>
      <c r="AL62" s="104"/>
      <c r="AM62" s="104"/>
      <c r="AN62" s="104"/>
      <c r="AO62" s="104"/>
      <c r="AP62" s="104"/>
    </row>
    <row r="63" spans="1:42" x14ac:dyDescent="0.25">
      <c r="B63" s="147">
        <f>'CoreFlex (LP)'!B13</f>
        <v>7.25</v>
      </c>
      <c r="C63" s="148">
        <f>'CoreFlex (LP)'!C13</f>
        <v>95.25</v>
      </c>
      <c r="D63" s="148"/>
      <c r="E63" s="148"/>
      <c r="F63" s="565"/>
      <c r="G63" s="135" t="s">
        <v>626</v>
      </c>
      <c r="H63" s="592">
        <v>3</v>
      </c>
      <c r="I63" s="150">
        <f t="shared" si="0"/>
        <v>7.25</v>
      </c>
      <c r="J63" s="151" t="e">
        <f t="shared" si="1"/>
        <v>#N/A</v>
      </c>
      <c r="K63" s="151"/>
      <c r="L63" s="151"/>
      <c r="M63" s="573"/>
      <c r="N63" s="142">
        <v>7.25</v>
      </c>
      <c r="O63" s="119"/>
      <c r="P63" s="119"/>
      <c r="S63" s="104"/>
      <c r="AG63" s="394"/>
      <c r="AH63" s="104"/>
      <c r="AJ63" s="104"/>
      <c r="AK63" s="104"/>
      <c r="AL63" s="104"/>
      <c r="AM63" s="104"/>
      <c r="AN63" s="104"/>
      <c r="AO63" s="104"/>
      <c r="AP63" s="104"/>
    </row>
    <row r="64" spans="1:42" ht="15.75" x14ac:dyDescent="0.25">
      <c r="B64" s="147">
        <f>'CoreFlex (LP)'!B14</f>
        <v>7.375</v>
      </c>
      <c r="C64" s="148">
        <f>'CoreFlex (LP)'!C14</f>
        <v>95.625</v>
      </c>
      <c r="D64" s="148"/>
      <c r="E64" s="148"/>
      <c r="F64" s="565"/>
      <c r="G64" s="142" t="e">
        <f>'CoreFlex (LP)'!P40</f>
        <v>#N/A</v>
      </c>
      <c r="H64" s="592">
        <v>4</v>
      </c>
      <c r="I64" s="150">
        <f t="shared" si="0"/>
        <v>7.375</v>
      </c>
      <c r="J64" s="151" t="e">
        <f t="shared" si="1"/>
        <v>#N/A</v>
      </c>
      <c r="K64" s="151"/>
      <c r="L64" s="151"/>
      <c r="M64" s="573"/>
      <c r="N64" s="142">
        <v>7.375</v>
      </c>
      <c r="O64" s="119"/>
      <c r="P64" s="368"/>
      <c r="S64" s="104"/>
      <c r="Y64" s="123"/>
      <c r="AG64" s="440"/>
      <c r="AH64" s="440"/>
      <c r="AI64" s="440"/>
      <c r="AJ64" s="104"/>
      <c r="AK64" s="104"/>
      <c r="AL64" s="104"/>
      <c r="AM64" s="104"/>
      <c r="AN64" s="104"/>
      <c r="AO64" s="104"/>
      <c r="AP64" s="104"/>
    </row>
    <row r="65" spans="2:48" ht="15.75" x14ac:dyDescent="0.25">
      <c r="B65" s="147">
        <f>'CoreFlex (LP)'!B15</f>
        <v>7.5</v>
      </c>
      <c r="C65" s="148">
        <f>'CoreFlex (LP)'!C15</f>
        <v>96</v>
      </c>
      <c r="D65" s="148"/>
      <c r="E65" s="148"/>
      <c r="F65" s="565"/>
      <c r="H65" s="592">
        <v>5</v>
      </c>
      <c r="I65" s="150">
        <f t="shared" si="0"/>
        <v>7.5</v>
      </c>
      <c r="J65" s="151" t="e">
        <f t="shared" si="1"/>
        <v>#N/A</v>
      </c>
      <c r="K65" s="151"/>
      <c r="L65" s="151"/>
      <c r="M65" s="573"/>
      <c r="N65" s="142">
        <v>7.5</v>
      </c>
      <c r="O65" s="119"/>
      <c r="P65" s="368"/>
      <c r="S65" s="104"/>
      <c r="U65" s="92"/>
      <c r="V65" s="92"/>
      <c r="W65" s="92"/>
      <c r="Y65" s="92"/>
      <c r="Z65" s="92"/>
      <c r="AA65" s="92"/>
      <c r="AG65" s="440"/>
      <c r="AH65" s="440"/>
      <c r="AI65" s="440"/>
      <c r="AJ65" s="104"/>
      <c r="AK65" s="104"/>
      <c r="AL65" s="104"/>
      <c r="AM65" s="104"/>
      <c r="AN65" s="104"/>
      <c r="AO65" s="104"/>
      <c r="AP65" s="104"/>
    </row>
    <row r="66" spans="2:48" ht="15.75" x14ac:dyDescent="0.25">
      <c r="B66" s="147">
        <f>'CoreFlex (LP)'!B16</f>
        <v>7.625</v>
      </c>
      <c r="C66" s="148">
        <f>'CoreFlex (LP)'!C16</f>
        <v>96.375</v>
      </c>
      <c r="D66" s="148"/>
      <c r="E66" s="148"/>
      <c r="F66" s="565"/>
      <c r="H66" s="592">
        <v>6</v>
      </c>
      <c r="I66" s="150">
        <f t="shared" si="0"/>
        <v>7.625</v>
      </c>
      <c r="J66" s="151" t="e">
        <f t="shared" si="1"/>
        <v>#N/A</v>
      </c>
      <c r="K66" s="151"/>
      <c r="L66" s="151"/>
      <c r="M66" s="573"/>
      <c r="N66" s="142">
        <v>7.625</v>
      </c>
      <c r="O66" s="119"/>
      <c r="P66" s="368"/>
      <c r="S66" s="104"/>
      <c r="U66" s="92"/>
      <c r="V66" s="92"/>
      <c r="W66" s="92"/>
      <c r="Y66" s="92"/>
      <c r="Z66" s="92"/>
      <c r="AA66" s="92"/>
      <c r="AG66" s="440"/>
      <c r="AH66" s="440"/>
      <c r="AI66" s="440"/>
      <c r="AJ66" s="104"/>
      <c r="AK66" s="104"/>
      <c r="AL66" s="104"/>
      <c r="AM66" s="104"/>
      <c r="AN66" s="104"/>
      <c r="AO66" s="104"/>
      <c r="AP66" s="104"/>
    </row>
    <row r="67" spans="2:48" ht="15.75" x14ac:dyDescent="0.25">
      <c r="B67" s="147">
        <f>'CoreFlex (LP)'!B17</f>
        <v>7.75</v>
      </c>
      <c r="C67" s="148">
        <f>'CoreFlex (LP)'!C17</f>
        <v>96.75</v>
      </c>
      <c r="D67" s="148"/>
      <c r="E67" s="148"/>
      <c r="F67" s="565"/>
      <c r="H67" s="592">
        <v>7</v>
      </c>
      <c r="I67" s="150">
        <f t="shared" si="0"/>
        <v>7.75</v>
      </c>
      <c r="J67" s="151" t="e">
        <f t="shared" si="1"/>
        <v>#N/A</v>
      </c>
      <c r="K67" s="151"/>
      <c r="L67" s="151"/>
      <c r="M67" s="573"/>
      <c r="N67" s="142">
        <v>7.75</v>
      </c>
      <c r="O67" s="119"/>
      <c r="P67" s="368"/>
      <c r="S67" s="104"/>
      <c r="Y67" s="92"/>
      <c r="Z67" s="92"/>
      <c r="AA67" s="92"/>
      <c r="AG67" s="440"/>
      <c r="AH67" s="440"/>
      <c r="AI67" s="440"/>
      <c r="AJ67" s="104"/>
      <c r="AK67" s="104"/>
      <c r="AL67" s="104"/>
      <c r="AM67" s="104"/>
      <c r="AN67" s="104"/>
      <c r="AO67" s="104"/>
      <c r="AP67" s="104"/>
    </row>
    <row r="68" spans="2:48" ht="15.75" x14ac:dyDescent="0.25">
      <c r="B68" s="147">
        <f>'CoreFlex (LP)'!B18</f>
        <v>7.875</v>
      </c>
      <c r="C68" s="148">
        <f>'CoreFlex (LP)'!C18</f>
        <v>97.125</v>
      </c>
      <c r="D68" s="148"/>
      <c r="E68" s="148"/>
      <c r="F68" s="565"/>
      <c r="G68" s="591" t="s">
        <v>209</v>
      </c>
      <c r="H68" s="592">
        <v>8</v>
      </c>
      <c r="I68" s="150">
        <f t="shared" si="0"/>
        <v>7.875</v>
      </c>
      <c r="J68" s="151" t="e">
        <f t="shared" si="1"/>
        <v>#N/A</v>
      </c>
      <c r="K68" s="151"/>
      <c r="L68" s="151"/>
      <c r="M68" s="573"/>
      <c r="N68" s="142">
        <v>7.875</v>
      </c>
      <c r="O68" s="119"/>
      <c r="P68" s="368"/>
      <c r="S68" s="104"/>
      <c r="U68" s="92"/>
      <c r="V68" s="92"/>
      <c r="W68" s="92"/>
      <c r="Y68" s="92"/>
      <c r="Z68" s="92"/>
      <c r="AA68" s="92"/>
      <c r="AG68" s="440"/>
      <c r="AH68" s="440"/>
      <c r="AI68" s="440"/>
      <c r="AJ68" s="104"/>
      <c r="AK68" s="104"/>
      <c r="AL68" s="104"/>
      <c r="AM68" s="104"/>
      <c r="AN68" s="104"/>
      <c r="AO68" s="104"/>
      <c r="AP68" s="104"/>
    </row>
    <row r="69" spans="2:48" ht="15.75" x14ac:dyDescent="0.25">
      <c r="B69" s="147">
        <f>'CoreFlex (LP)'!B19</f>
        <v>8</v>
      </c>
      <c r="C69" s="148">
        <f>'CoreFlex (LP)'!C19</f>
        <v>97.5</v>
      </c>
      <c r="D69" s="148"/>
      <c r="E69" s="148"/>
      <c r="F69" s="565"/>
      <c r="G69" s="119" t="e">
        <f>#REF!</f>
        <v>#REF!</v>
      </c>
      <c r="H69" s="592">
        <v>9</v>
      </c>
      <c r="I69" s="150">
        <f t="shared" si="0"/>
        <v>8</v>
      </c>
      <c r="J69" s="151" t="e">
        <f t="shared" si="1"/>
        <v>#N/A</v>
      </c>
      <c r="K69" s="151"/>
      <c r="L69" s="151"/>
      <c r="M69" s="573"/>
      <c r="N69" s="142">
        <v>8</v>
      </c>
      <c r="O69" s="119"/>
      <c r="P69" s="368"/>
      <c r="S69" s="104"/>
      <c r="U69" s="92"/>
      <c r="V69" s="92"/>
      <c r="W69" s="92"/>
      <c r="Y69" s="92"/>
      <c r="Z69" s="92"/>
      <c r="AA69" s="92"/>
      <c r="AG69" s="440"/>
      <c r="AH69" s="440"/>
      <c r="AI69" s="440"/>
      <c r="AJ69" s="104"/>
      <c r="AK69" s="104"/>
      <c r="AL69" s="104"/>
      <c r="AM69" s="104"/>
      <c r="AN69" s="104"/>
      <c r="AO69" s="104"/>
      <c r="AP69" s="104"/>
    </row>
    <row r="70" spans="2:48" ht="15.75" x14ac:dyDescent="0.25">
      <c r="B70" s="147">
        <f>'CoreFlex (LP)'!B20</f>
        <v>8.125</v>
      </c>
      <c r="C70" s="148">
        <f>'CoreFlex (LP)'!C20</f>
        <v>97.875</v>
      </c>
      <c r="D70" s="148"/>
      <c r="E70" s="148"/>
      <c r="F70" s="565"/>
      <c r="G70" s="92" t="e">
        <f>IF(#REF!="DSCR 5-8", "DSCR 5-8", "")</f>
        <v>#REF!</v>
      </c>
      <c r="H70" s="592">
        <v>10</v>
      </c>
      <c r="I70" s="150">
        <f t="shared" si="0"/>
        <v>8.125</v>
      </c>
      <c r="J70" s="151" t="e">
        <f t="shared" si="1"/>
        <v>#N/A</v>
      </c>
      <c r="K70" s="151"/>
      <c r="L70" s="151"/>
      <c r="M70" s="573"/>
      <c r="N70" s="142">
        <v>8.125</v>
      </c>
      <c r="O70" s="119"/>
      <c r="P70" s="368"/>
      <c r="S70" s="104"/>
      <c r="U70" s="92"/>
      <c r="V70" s="92"/>
      <c r="W70" s="92"/>
      <c r="Y70" s="92"/>
      <c r="Z70" s="92"/>
      <c r="AA70" s="92"/>
      <c r="AG70" s="440"/>
      <c r="AH70" s="440"/>
      <c r="AI70" s="440"/>
      <c r="AJ70" s="104"/>
      <c r="AK70" s="104"/>
      <c r="AL70" s="104"/>
      <c r="AM70" s="104"/>
      <c r="AN70" s="104"/>
      <c r="AO70" s="104"/>
      <c r="AP70" s="104"/>
    </row>
    <row r="71" spans="2:48" ht="15.75" x14ac:dyDescent="0.25">
      <c r="B71" s="147">
        <f>'CoreFlex (LP)'!B21</f>
        <v>8.25</v>
      </c>
      <c r="C71" s="148">
        <f>'CoreFlex (LP)'!C21</f>
        <v>98.25</v>
      </c>
      <c r="D71" s="148"/>
      <c r="E71" s="148"/>
      <c r="F71" s="565"/>
      <c r="H71" s="592">
        <v>11</v>
      </c>
      <c r="I71" s="150">
        <f t="shared" si="0"/>
        <v>8.25</v>
      </c>
      <c r="J71" s="151" t="e">
        <f t="shared" si="1"/>
        <v>#N/A</v>
      </c>
      <c r="K71" s="151"/>
      <c r="L71" s="151"/>
      <c r="M71" s="573"/>
      <c r="N71" s="142">
        <v>8.25</v>
      </c>
      <c r="O71" s="119"/>
      <c r="P71" s="368"/>
      <c r="S71" s="104"/>
      <c r="Y71" s="92"/>
      <c r="Z71" s="92"/>
      <c r="AA71" s="92"/>
      <c r="AG71" s="442"/>
      <c r="AH71" s="442"/>
      <c r="AI71" s="442"/>
      <c r="AM71" s="104"/>
      <c r="AN71" s="104"/>
      <c r="AO71" s="104"/>
      <c r="AP71" s="104"/>
      <c r="AQ71" s="104"/>
      <c r="AR71" s="104"/>
      <c r="AS71" s="104"/>
      <c r="AT71" s="104"/>
      <c r="AU71" s="104"/>
      <c r="AV71" s="104"/>
    </row>
    <row r="72" spans="2:48" ht="15.75" x14ac:dyDescent="0.25">
      <c r="B72" s="147">
        <f>'CoreFlex (LP)'!B22</f>
        <v>8.375</v>
      </c>
      <c r="C72" s="148">
        <f>'CoreFlex (LP)'!C22</f>
        <v>98.625</v>
      </c>
      <c r="D72" s="148"/>
      <c r="E72" s="148"/>
      <c r="F72" s="565"/>
      <c r="H72" s="592">
        <v>12</v>
      </c>
      <c r="I72" s="150">
        <f t="shared" si="0"/>
        <v>8.375</v>
      </c>
      <c r="J72" s="151" t="e">
        <f t="shared" si="1"/>
        <v>#N/A</v>
      </c>
      <c r="K72" s="151"/>
      <c r="L72" s="151"/>
      <c r="M72" s="573"/>
      <c r="N72" s="142">
        <v>8.375</v>
      </c>
      <c r="O72" s="119"/>
      <c r="P72" s="119"/>
      <c r="S72" s="104"/>
      <c r="Y72" s="92"/>
      <c r="Z72" s="92"/>
      <c r="AA72" s="92"/>
      <c r="AG72" s="442"/>
      <c r="AH72" s="442"/>
      <c r="AI72" s="442"/>
      <c r="AM72" s="104"/>
      <c r="AN72" s="104"/>
      <c r="AO72" s="104"/>
      <c r="AP72" s="104"/>
      <c r="AQ72" s="104"/>
      <c r="AR72" s="104"/>
      <c r="AS72" s="104"/>
      <c r="AT72" s="104"/>
      <c r="AU72" s="104"/>
      <c r="AV72" s="104"/>
    </row>
    <row r="73" spans="2:48" ht="15.75" x14ac:dyDescent="0.25">
      <c r="B73" s="147">
        <f>'CoreFlex (LP)'!B23</f>
        <v>8.5</v>
      </c>
      <c r="C73" s="148">
        <f>'CoreFlex (LP)'!C23</f>
        <v>99</v>
      </c>
      <c r="D73" s="148"/>
      <c r="E73" s="148"/>
      <c r="F73" s="565"/>
      <c r="G73" s="142"/>
      <c r="H73" s="592">
        <v>13</v>
      </c>
      <c r="I73" s="150">
        <f t="shared" si="0"/>
        <v>8.5</v>
      </c>
      <c r="J73" s="151" t="e">
        <f t="shared" si="1"/>
        <v>#N/A</v>
      </c>
      <c r="K73" s="151"/>
      <c r="L73" s="151"/>
      <c r="M73" s="573"/>
      <c r="N73" s="142">
        <v>8.5</v>
      </c>
      <c r="O73" s="119"/>
      <c r="P73" s="119"/>
      <c r="S73" s="104"/>
      <c r="Y73" s="92"/>
      <c r="Z73" s="92"/>
      <c r="AA73" s="92"/>
      <c r="AG73" s="442"/>
      <c r="AH73" s="442"/>
      <c r="AI73" s="442"/>
      <c r="AM73" s="104"/>
      <c r="AN73" s="104"/>
      <c r="AO73" s="104"/>
      <c r="AP73" s="104"/>
      <c r="AQ73" s="104"/>
      <c r="AR73" s="104"/>
      <c r="AS73" s="104"/>
    </row>
    <row r="74" spans="2:48" ht="15.75" x14ac:dyDescent="0.25">
      <c r="B74" s="147">
        <f>'CoreFlex (LP)'!B24</f>
        <v>8.625</v>
      </c>
      <c r="C74" s="148">
        <f>'CoreFlex (LP)'!C24</f>
        <v>99.25</v>
      </c>
      <c r="D74" s="148"/>
      <c r="E74" s="148"/>
      <c r="F74" s="565"/>
      <c r="H74" s="592">
        <v>14</v>
      </c>
      <c r="I74" s="150">
        <f t="shared" si="0"/>
        <v>8.625</v>
      </c>
      <c r="J74" s="151" t="e">
        <f t="shared" si="1"/>
        <v>#N/A</v>
      </c>
      <c r="K74" s="151"/>
      <c r="L74" s="151"/>
      <c r="M74" s="573"/>
      <c r="N74" s="142">
        <v>8.625</v>
      </c>
      <c r="O74" s="119"/>
      <c r="P74" s="119"/>
      <c r="S74" s="104"/>
      <c r="Y74" s="92"/>
      <c r="AA74" s="92"/>
      <c r="AG74" s="442"/>
      <c r="AH74" s="442"/>
      <c r="AI74" s="442"/>
      <c r="AM74" s="104"/>
      <c r="AN74" s="104"/>
      <c r="AO74" s="104"/>
      <c r="AP74" s="104"/>
      <c r="AQ74" s="104"/>
      <c r="AR74" s="104"/>
      <c r="AS74" s="104"/>
    </row>
    <row r="75" spans="2:48" ht="15.75" x14ac:dyDescent="0.25">
      <c r="B75" s="147">
        <f>'CoreFlex (LP)'!B25</f>
        <v>8.75</v>
      </c>
      <c r="C75" s="148">
        <f>'CoreFlex (LP)'!C25</f>
        <v>99.5</v>
      </c>
      <c r="D75" s="148"/>
      <c r="E75" s="148"/>
      <c r="F75" s="565"/>
      <c r="H75" s="592">
        <v>15</v>
      </c>
      <c r="I75" s="150">
        <f t="shared" si="0"/>
        <v>8.75</v>
      </c>
      <c r="J75" s="151" t="e">
        <f t="shared" si="1"/>
        <v>#N/A</v>
      </c>
      <c r="K75" s="151"/>
      <c r="L75" s="151"/>
      <c r="M75" s="573"/>
      <c r="N75" s="142">
        <v>8.75</v>
      </c>
      <c r="O75" s="119"/>
      <c r="P75" s="119"/>
      <c r="S75" s="104"/>
      <c r="Y75" s="92"/>
      <c r="Z75" s="92"/>
      <c r="AA75" s="92"/>
      <c r="AG75" s="442"/>
      <c r="AH75" s="442"/>
      <c r="AI75" s="442"/>
      <c r="AK75"/>
      <c r="AL75"/>
      <c r="AM75"/>
      <c r="AN75"/>
      <c r="AO75"/>
      <c r="AP75"/>
      <c r="AQ75"/>
      <c r="AR75"/>
      <c r="AS75"/>
      <c r="AT75"/>
      <c r="AU75"/>
      <c r="AV75"/>
    </row>
    <row r="76" spans="2:48" ht="15.75" x14ac:dyDescent="0.25">
      <c r="B76" s="147">
        <f>'CoreFlex (LP)'!B26</f>
        <v>8.875</v>
      </c>
      <c r="C76" s="148">
        <f>'CoreFlex (LP)'!C26</f>
        <v>99.75</v>
      </c>
      <c r="D76" s="148"/>
      <c r="E76" s="148"/>
      <c r="F76" s="565"/>
      <c r="G76" s="142"/>
      <c r="H76" s="592">
        <v>16</v>
      </c>
      <c r="I76" s="150">
        <f t="shared" si="0"/>
        <v>8.875</v>
      </c>
      <c r="J76" s="151" t="e">
        <f t="shared" si="1"/>
        <v>#N/A</v>
      </c>
      <c r="K76" s="151"/>
      <c r="L76" s="151"/>
      <c r="M76" s="573"/>
      <c r="N76" s="142">
        <v>8.875</v>
      </c>
      <c r="O76" s="119"/>
      <c r="P76" s="119"/>
      <c r="S76" s="104"/>
      <c r="Y76" s="92"/>
      <c r="AA76" s="92"/>
      <c r="AG76" s="442"/>
      <c r="AH76" s="442"/>
      <c r="AI76" s="442"/>
      <c r="AK76"/>
      <c r="AL76"/>
      <c r="AM76"/>
      <c r="AN76"/>
      <c r="AO76"/>
      <c r="AP76"/>
      <c r="AQ76"/>
      <c r="AR76"/>
      <c r="AS76"/>
      <c r="AT76"/>
      <c r="AU76"/>
      <c r="AV76"/>
    </row>
    <row r="77" spans="2:48" ht="15.75" x14ac:dyDescent="0.25">
      <c r="B77" s="147">
        <f>'CoreFlex (LP)'!B27</f>
        <v>9</v>
      </c>
      <c r="C77" s="148">
        <f>'CoreFlex (LP)'!C27</f>
        <v>100</v>
      </c>
      <c r="D77" s="148"/>
      <c r="E77" s="148"/>
      <c r="F77" s="565"/>
      <c r="G77" s="142"/>
      <c r="H77" s="592">
        <v>17</v>
      </c>
      <c r="I77" s="150">
        <f t="shared" si="0"/>
        <v>9</v>
      </c>
      <c r="J77" s="151" t="e">
        <f t="shared" si="1"/>
        <v>#N/A</v>
      </c>
      <c r="K77" s="151"/>
      <c r="L77" s="151"/>
      <c r="M77" s="573"/>
      <c r="N77" s="142">
        <v>9</v>
      </c>
      <c r="O77" s="119"/>
      <c r="P77" s="119"/>
      <c r="S77" s="104"/>
      <c r="Y77" s="92"/>
      <c r="AA77" s="92"/>
      <c r="AG77" s="442"/>
      <c r="AH77" s="442"/>
      <c r="AI77" s="442"/>
      <c r="AK77"/>
      <c r="AL77"/>
      <c r="AM77"/>
      <c r="AN77"/>
      <c r="AO77"/>
      <c r="AP77"/>
      <c r="AQ77"/>
      <c r="AR77"/>
      <c r="AS77"/>
      <c r="AT77"/>
      <c r="AU77"/>
      <c r="AV77"/>
    </row>
    <row r="78" spans="2:48" ht="15.75" x14ac:dyDescent="0.25">
      <c r="B78" s="147">
        <f>'CoreFlex (LP)'!B28</f>
        <v>9.125</v>
      </c>
      <c r="C78" s="148">
        <f>'CoreFlex (LP)'!C28</f>
        <v>100.25</v>
      </c>
      <c r="D78" s="148"/>
      <c r="E78" s="148"/>
      <c r="F78" s="565"/>
      <c r="H78" s="592">
        <v>18</v>
      </c>
      <c r="I78" s="155">
        <f t="shared" si="0"/>
        <v>9.125</v>
      </c>
      <c r="J78" s="156" t="e">
        <f t="shared" si="1"/>
        <v>#N/A</v>
      </c>
      <c r="K78" s="156"/>
      <c r="L78" s="156"/>
      <c r="M78" s="573"/>
      <c r="N78" s="142">
        <v>9.125</v>
      </c>
      <c r="O78" s="119"/>
      <c r="P78" s="119"/>
      <c r="S78" s="104"/>
      <c r="Y78" s="92"/>
      <c r="AA78" s="92"/>
      <c r="AG78" s="442"/>
      <c r="AH78" s="442"/>
      <c r="AI78" s="442"/>
      <c r="AK78"/>
      <c r="AL78"/>
      <c r="AM78"/>
      <c r="AN78"/>
      <c r="AO78"/>
      <c r="AP78"/>
      <c r="AQ78"/>
      <c r="AR78"/>
      <c r="AS78"/>
      <c r="AT78"/>
      <c r="AU78"/>
      <c r="AV78"/>
    </row>
    <row r="79" spans="2:48" ht="15.75" x14ac:dyDescent="0.25">
      <c r="B79" s="147">
        <f>'CoreFlex (LP)'!B29</f>
        <v>9.25</v>
      </c>
      <c r="C79" s="148">
        <f>'CoreFlex (LP)'!C29</f>
        <v>100.5</v>
      </c>
      <c r="D79" s="148"/>
      <c r="E79" s="148"/>
      <c r="F79" s="565"/>
      <c r="H79" s="592">
        <v>19</v>
      </c>
      <c r="I79" s="155">
        <f t="shared" si="0"/>
        <v>9.25</v>
      </c>
      <c r="J79" s="156" t="e">
        <f t="shared" si="1"/>
        <v>#N/A</v>
      </c>
      <c r="K79" s="156"/>
      <c r="L79" s="156"/>
      <c r="M79" s="573"/>
      <c r="N79" s="142">
        <v>9.25</v>
      </c>
      <c r="O79" s="119"/>
      <c r="P79" s="119"/>
      <c r="S79" s="104"/>
      <c r="Y79" s="92"/>
      <c r="AA79" s="92"/>
      <c r="AG79" s="442"/>
      <c r="AH79" s="442"/>
      <c r="AI79" s="442"/>
      <c r="AK79"/>
      <c r="AL79"/>
      <c r="AM79"/>
      <c r="AN79"/>
      <c r="AO79"/>
      <c r="AP79"/>
      <c r="AQ79"/>
      <c r="AR79"/>
      <c r="AS79"/>
      <c r="AT79"/>
      <c r="AU79"/>
      <c r="AV79"/>
    </row>
    <row r="80" spans="2:48" ht="15.75" x14ac:dyDescent="0.25">
      <c r="B80" s="147">
        <f>'CoreFlex (LP)'!B30</f>
        <v>9.375</v>
      </c>
      <c r="C80" s="148">
        <f>'CoreFlex (LP)'!C30</f>
        <v>100.75</v>
      </c>
      <c r="D80" s="148"/>
      <c r="E80" s="148"/>
      <c r="F80" s="565"/>
      <c r="H80" s="592">
        <v>20</v>
      </c>
      <c r="I80" s="150">
        <f t="shared" si="0"/>
        <v>9.375</v>
      </c>
      <c r="J80" s="151" t="e">
        <f t="shared" si="1"/>
        <v>#N/A</v>
      </c>
      <c r="K80" s="151"/>
      <c r="L80" s="151"/>
      <c r="M80" s="573"/>
      <c r="N80" s="142">
        <v>9.375</v>
      </c>
      <c r="O80" s="119"/>
      <c r="P80" s="119"/>
      <c r="S80" s="104"/>
      <c r="Y80" s="92"/>
      <c r="AA80" s="92"/>
      <c r="AG80" s="442"/>
      <c r="AH80" s="442"/>
      <c r="AI80" s="442"/>
      <c r="AK80"/>
      <c r="AL80"/>
      <c r="AM80"/>
      <c r="AN80"/>
      <c r="AO80"/>
      <c r="AP80"/>
      <c r="AQ80"/>
      <c r="AR80"/>
      <c r="AS80"/>
      <c r="AT80"/>
      <c r="AU80"/>
      <c r="AV80"/>
    </row>
    <row r="81" spans="2:48" ht="15.75" x14ac:dyDescent="0.25">
      <c r="B81" s="147">
        <f>'CoreFlex (LP)'!B31</f>
        <v>9.5</v>
      </c>
      <c r="C81" s="148">
        <f>'CoreFlex (LP)'!C31</f>
        <v>101</v>
      </c>
      <c r="D81" s="148"/>
      <c r="E81" s="148"/>
      <c r="F81" s="565"/>
      <c r="H81" s="592">
        <v>21</v>
      </c>
      <c r="I81" s="150">
        <f t="shared" si="0"/>
        <v>9.5</v>
      </c>
      <c r="J81" s="151" t="e">
        <f t="shared" si="1"/>
        <v>#N/A</v>
      </c>
      <c r="K81" s="151"/>
      <c r="L81" s="151"/>
      <c r="M81" s="573"/>
      <c r="N81" s="142">
        <v>9.5</v>
      </c>
      <c r="O81" s="119"/>
      <c r="P81" s="119"/>
      <c r="S81" s="104"/>
      <c r="Y81" s="92"/>
      <c r="AA81" s="92"/>
      <c r="AG81" s="442"/>
      <c r="AH81" s="442"/>
      <c r="AI81" s="442"/>
      <c r="AK81"/>
      <c r="AL81"/>
      <c r="AM81"/>
      <c r="AN81"/>
      <c r="AO81"/>
      <c r="AP81"/>
      <c r="AQ81"/>
      <c r="AR81"/>
      <c r="AS81"/>
      <c r="AT81"/>
      <c r="AU81"/>
      <c r="AV81"/>
    </row>
    <row r="82" spans="2:48" x14ac:dyDescent="0.25">
      <c r="B82" s="147">
        <f>'CoreFlex (LP)'!B32</f>
        <v>9.625</v>
      </c>
      <c r="C82" s="148">
        <f>'CoreFlex (LP)'!C32</f>
        <v>101.25</v>
      </c>
      <c r="D82" s="148"/>
      <c r="E82" s="148"/>
      <c r="F82" s="565"/>
      <c r="H82" s="592">
        <v>22</v>
      </c>
      <c r="I82" s="150">
        <f t="shared" si="0"/>
        <v>9.625</v>
      </c>
      <c r="J82" s="151" t="e">
        <f t="shared" si="1"/>
        <v>#N/A</v>
      </c>
      <c r="K82" s="151"/>
      <c r="L82" s="151"/>
      <c r="M82" s="573"/>
      <c r="N82" s="142">
        <v>9.625</v>
      </c>
      <c r="O82" s="119"/>
      <c r="P82" s="119"/>
      <c r="S82" s="104"/>
      <c r="Y82" s="92"/>
      <c r="AA82" s="92"/>
      <c r="AK82"/>
      <c r="AL82"/>
      <c r="AM82"/>
      <c r="AN82"/>
      <c r="AO82"/>
      <c r="AP82"/>
      <c r="AQ82"/>
      <c r="AR82"/>
      <c r="AS82"/>
      <c r="AT82"/>
      <c r="AU82"/>
      <c r="AV82"/>
    </row>
    <row r="83" spans="2:48" x14ac:dyDescent="0.25">
      <c r="B83" s="147">
        <f>'CoreFlex (LP)'!B33</f>
        <v>9.75</v>
      </c>
      <c r="C83" s="148">
        <f>'CoreFlex (LP)'!C33</f>
        <v>101.5</v>
      </c>
      <c r="D83" s="148"/>
      <c r="E83" s="148"/>
      <c r="F83" s="565"/>
      <c r="H83" s="592">
        <v>23</v>
      </c>
      <c r="I83" s="150">
        <f t="shared" si="0"/>
        <v>9.75</v>
      </c>
      <c r="J83" s="151" t="e">
        <f t="shared" si="1"/>
        <v>#N/A</v>
      </c>
      <c r="K83" s="151"/>
      <c r="L83" s="151"/>
      <c r="M83" s="573"/>
      <c r="N83" s="142">
        <v>9.75</v>
      </c>
      <c r="O83" s="119"/>
      <c r="P83" s="119"/>
      <c r="S83" s="104"/>
      <c r="Y83" s="92"/>
      <c r="AA83" s="92"/>
      <c r="AK83"/>
      <c r="AL83"/>
      <c r="AM83"/>
      <c r="AN83"/>
      <c r="AO83"/>
      <c r="AP83"/>
      <c r="AQ83"/>
      <c r="AR83"/>
      <c r="AS83"/>
      <c r="AT83"/>
      <c r="AU83"/>
      <c r="AV83"/>
    </row>
    <row r="84" spans="2:48" x14ac:dyDescent="0.25">
      <c r="B84" s="147"/>
      <c r="C84" s="148"/>
      <c r="D84" s="148"/>
      <c r="E84" s="148"/>
      <c r="F84" s="565"/>
      <c r="H84" s="592"/>
      <c r="I84" s="150"/>
      <c r="J84" s="151"/>
      <c r="K84" s="151"/>
      <c r="L84" s="151"/>
      <c r="M84" s="573"/>
      <c r="N84" s="142"/>
      <c r="O84" s="119"/>
      <c r="P84" s="119"/>
      <c r="S84" s="104"/>
      <c r="Y84" s="92"/>
      <c r="AA84" s="92"/>
      <c r="AK84"/>
      <c r="AL84"/>
      <c r="AM84"/>
      <c r="AN84"/>
      <c r="AO84"/>
      <c r="AP84"/>
      <c r="AQ84"/>
      <c r="AR84"/>
      <c r="AS84"/>
      <c r="AT84"/>
      <c r="AU84"/>
      <c r="AV84"/>
    </row>
    <row r="85" spans="2:48" x14ac:dyDescent="0.25">
      <c r="B85" s="147"/>
      <c r="C85" s="148"/>
      <c r="D85" s="148"/>
      <c r="E85" s="148"/>
      <c r="F85" s="565"/>
      <c r="H85" s="592"/>
      <c r="I85" s="150"/>
      <c r="J85" s="151"/>
      <c r="K85" s="151"/>
      <c r="L85" s="151"/>
      <c r="M85" s="573"/>
      <c r="N85" s="142"/>
      <c r="O85" s="119"/>
      <c r="P85" s="119"/>
      <c r="S85" s="104"/>
      <c r="Y85" s="92"/>
      <c r="AA85" s="92"/>
      <c r="AB85"/>
      <c r="AC85"/>
      <c r="AD85"/>
      <c r="AE85"/>
      <c r="AF85"/>
      <c r="AG85"/>
      <c r="AH85"/>
      <c r="AI85"/>
      <c r="AJ85"/>
      <c r="AK85"/>
      <c r="AL85"/>
      <c r="AM85"/>
      <c r="AN85"/>
    </row>
    <row r="86" spans="2:48" x14ac:dyDescent="0.25">
      <c r="B86" s="147"/>
      <c r="C86" s="148"/>
      <c r="D86" s="148"/>
      <c r="E86" s="148"/>
      <c r="F86" s="565"/>
      <c r="H86" s="592"/>
      <c r="I86" s="150"/>
      <c r="J86" s="151"/>
      <c r="K86" s="151"/>
      <c r="L86" s="151"/>
      <c r="M86" s="573"/>
      <c r="N86" s="142"/>
      <c r="O86" s="119"/>
      <c r="P86" s="119"/>
      <c r="S86" s="104"/>
      <c r="Y86" s="92"/>
      <c r="Z86" s="92"/>
      <c r="AA86" s="92"/>
      <c r="AB86"/>
      <c r="AC86"/>
      <c r="AD86"/>
      <c r="AE86"/>
      <c r="AF86"/>
      <c r="AG86"/>
      <c r="AH86"/>
      <c r="AI86"/>
      <c r="AJ86"/>
      <c r="AK86"/>
      <c r="AL86"/>
      <c r="AM86"/>
      <c r="AN86"/>
    </row>
    <row r="87" spans="2:48" x14ac:dyDescent="0.25">
      <c r="B87" s="147"/>
      <c r="C87" s="148"/>
      <c r="D87" s="148"/>
      <c r="E87" s="148"/>
      <c r="F87" s="565"/>
      <c r="H87" s="592"/>
      <c r="I87" s="150"/>
      <c r="J87" s="151"/>
      <c r="K87" s="151"/>
      <c r="L87" s="151"/>
      <c r="M87" s="573"/>
      <c r="N87" s="142"/>
      <c r="O87" s="119"/>
      <c r="P87" s="119"/>
      <c r="S87" s="104"/>
      <c r="Y87" s="92"/>
      <c r="Z87" s="92"/>
      <c r="AA87" s="92"/>
      <c r="AB87"/>
      <c r="AC87"/>
      <c r="AD87"/>
      <c r="AE87"/>
      <c r="AF87"/>
      <c r="AG87"/>
      <c r="AH87"/>
      <c r="AI87"/>
      <c r="AJ87"/>
      <c r="AK87"/>
      <c r="AL87"/>
      <c r="AM87"/>
      <c r="AN87"/>
    </row>
    <row r="88" spans="2:48" x14ac:dyDescent="0.25">
      <c r="B88" s="147"/>
      <c r="C88" s="148"/>
      <c r="D88" s="148"/>
      <c r="E88" s="148"/>
      <c r="F88" s="565"/>
      <c r="H88" s="592"/>
      <c r="I88" s="150"/>
      <c r="J88" s="151"/>
      <c r="K88" s="151"/>
      <c r="L88" s="151"/>
      <c r="M88" s="573"/>
      <c r="N88" s="142"/>
      <c r="O88" s="119"/>
      <c r="P88" s="119"/>
      <c r="S88" s="104"/>
      <c r="Y88" s="92"/>
      <c r="Z88" s="92"/>
      <c r="AA88" s="92"/>
      <c r="AB88"/>
      <c r="AC88"/>
      <c r="AD88"/>
      <c r="AE88"/>
      <c r="AF88"/>
      <c r="AG88"/>
      <c r="AH88"/>
      <c r="AI88"/>
      <c r="AJ88"/>
      <c r="AK88"/>
      <c r="AL88"/>
      <c r="AM88"/>
      <c r="AN88"/>
    </row>
    <row r="89" spans="2:48" x14ac:dyDescent="0.25">
      <c r="B89" s="569"/>
      <c r="C89" s="570"/>
      <c r="D89" s="570"/>
      <c r="E89" s="570"/>
      <c r="F89" s="570"/>
      <c r="H89" s="592"/>
      <c r="I89" s="150"/>
      <c r="J89" s="151"/>
      <c r="K89" s="151"/>
      <c r="L89" s="151"/>
      <c r="M89" s="573"/>
      <c r="N89" s="142"/>
      <c r="O89" s="119"/>
      <c r="P89" s="119"/>
      <c r="S89" s="104"/>
      <c r="Y89" s="92"/>
      <c r="Z89" s="92"/>
      <c r="AA89" s="92"/>
      <c r="AB89"/>
      <c r="AC89"/>
      <c r="AD89"/>
      <c r="AE89"/>
      <c r="AF89"/>
      <c r="AG89"/>
      <c r="AH89"/>
      <c r="AI89"/>
      <c r="AJ89"/>
      <c r="AK89"/>
      <c r="AL89"/>
      <c r="AM89"/>
      <c r="AN89"/>
    </row>
    <row r="90" spans="2:48" x14ac:dyDescent="0.25">
      <c r="B90" s="569"/>
      <c r="C90" s="570"/>
      <c r="D90" s="570"/>
      <c r="E90" s="570"/>
      <c r="F90" s="570"/>
      <c r="H90" s="592"/>
      <c r="I90" s="150"/>
      <c r="J90" s="151"/>
      <c r="K90" s="151"/>
      <c r="L90" s="151"/>
      <c r="M90" s="573"/>
      <c r="N90" s="142"/>
      <c r="O90" s="119"/>
      <c r="P90" s="119"/>
      <c r="S90" s="104"/>
      <c r="Y90" s="92"/>
      <c r="AA90" s="92"/>
      <c r="AB90"/>
      <c r="AC90"/>
      <c r="AD90"/>
      <c r="AE90"/>
      <c r="AF90"/>
      <c r="AG90"/>
      <c r="AH90"/>
      <c r="AI90"/>
      <c r="AJ90"/>
      <c r="AK90"/>
      <c r="AL90"/>
      <c r="AM90"/>
      <c r="AN90"/>
    </row>
    <row r="91" spans="2:48" x14ac:dyDescent="0.25">
      <c r="B91" s="569"/>
      <c r="C91" s="570"/>
      <c r="D91" s="570"/>
      <c r="E91" s="570"/>
      <c r="F91" s="570"/>
      <c r="H91" s="592"/>
      <c r="I91" s="150"/>
      <c r="J91" s="151"/>
      <c r="K91" s="151"/>
      <c r="L91" s="151"/>
      <c r="M91" s="573"/>
      <c r="N91" s="142"/>
      <c r="O91" s="119"/>
      <c r="P91" s="119"/>
      <c r="S91" s="104"/>
      <c r="Y91" s="92"/>
      <c r="AA91" s="92"/>
      <c r="AB91"/>
      <c r="AC91"/>
      <c r="AD91"/>
      <c r="AE91"/>
      <c r="AF91"/>
      <c r="AG91"/>
      <c r="AH91"/>
      <c r="AI91"/>
      <c r="AJ91"/>
      <c r="AK91"/>
      <c r="AL91"/>
      <c r="AM91"/>
      <c r="AN91"/>
    </row>
    <row r="92" spans="2:48" x14ac:dyDescent="0.25">
      <c r="B92" s="569"/>
      <c r="C92" s="570"/>
      <c r="D92" s="570"/>
      <c r="E92" s="570"/>
      <c r="F92" s="570"/>
      <c r="H92" s="592"/>
      <c r="I92" s="150"/>
      <c r="J92" s="151"/>
      <c r="K92" s="151"/>
      <c r="L92" s="151"/>
      <c r="M92" s="573"/>
      <c r="N92" s="142"/>
      <c r="O92" s="119"/>
      <c r="P92" s="119"/>
      <c r="S92" s="104"/>
      <c r="Y92" s="92"/>
      <c r="AA92" s="92"/>
      <c r="AB92"/>
      <c r="AC92"/>
      <c r="AD92"/>
      <c r="AE92"/>
      <c r="AF92"/>
      <c r="AG92"/>
      <c r="AH92"/>
      <c r="AI92"/>
      <c r="AJ92"/>
      <c r="AK92"/>
      <c r="AL92"/>
      <c r="AM92"/>
      <c r="AN92"/>
    </row>
    <row r="93" spans="2:48" x14ac:dyDescent="0.25">
      <c r="B93" s="569"/>
      <c r="C93" s="570"/>
      <c r="D93" s="570"/>
      <c r="E93" s="570"/>
      <c r="F93" s="570"/>
      <c r="H93" s="592"/>
      <c r="I93" s="150"/>
      <c r="J93" s="151"/>
      <c r="K93" s="151"/>
      <c r="L93" s="151"/>
      <c r="M93" s="573"/>
      <c r="N93" s="142"/>
      <c r="O93" s="119"/>
      <c r="P93" s="119"/>
      <c r="S93" s="104"/>
      <c r="Y93" s="92"/>
      <c r="AA93" s="92"/>
      <c r="AB93"/>
      <c r="AC93"/>
      <c r="AD93"/>
      <c r="AE93"/>
      <c r="AF93"/>
      <c r="AG93"/>
      <c r="AH93"/>
      <c r="AI93"/>
      <c r="AJ93"/>
      <c r="AK93"/>
      <c r="AL93"/>
      <c r="AM93"/>
      <c r="AN93"/>
    </row>
    <row r="94" spans="2:48" x14ac:dyDescent="0.25">
      <c r="B94" s="569"/>
      <c r="C94" s="570"/>
      <c r="D94" s="570"/>
      <c r="E94" s="570"/>
      <c r="F94" s="570"/>
      <c r="H94" s="592"/>
      <c r="I94" s="150"/>
      <c r="J94" s="151"/>
      <c r="K94" s="151"/>
      <c r="L94" s="151"/>
      <c r="M94" s="573"/>
      <c r="N94" s="142"/>
      <c r="O94" s="119"/>
      <c r="P94" s="119"/>
      <c r="S94" s="104"/>
      <c r="Y94" s="92"/>
      <c r="AA94" s="92"/>
      <c r="AB94"/>
      <c r="AC94"/>
      <c r="AD94"/>
      <c r="AE94"/>
      <c r="AF94"/>
      <c r="AG94"/>
      <c r="AH94"/>
      <c r="AI94"/>
      <c r="AJ94"/>
      <c r="AK94"/>
      <c r="AL94"/>
      <c r="AM94"/>
      <c r="AN94"/>
    </row>
    <row r="95" spans="2:48" x14ac:dyDescent="0.25">
      <c r="B95" s="569"/>
      <c r="C95" s="570"/>
      <c r="D95" s="570"/>
      <c r="E95" s="570"/>
      <c r="F95" s="570"/>
      <c r="H95" s="592"/>
      <c r="I95" s="150"/>
      <c r="J95" s="151"/>
      <c r="K95" s="151"/>
      <c r="L95" s="151"/>
      <c r="M95" s="573"/>
      <c r="N95" s="142"/>
      <c r="O95" s="119"/>
      <c r="P95" s="119"/>
      <c r="S95" s="104"/>
      <c r="Y95" s="92"/>
      <c r="AA95" s="92"/>
      <c r="AB95"/>
      <c r="AC95"/>
      <c r="AD95"/>
      <c r="AE95"/>
      <c r="AF95"/>
      <c r="AG95"/>
      <c r="AH95"/>
      <c r="AI95"/>
      <c r="AJ95"/>
      <c r="AK95"/>
      <c r="AL95"/>
      <c r="AM95"/>
      <c r="AN95"/>
    </row>
    <row r="96" spans="2:48" x14ac:dyDescent="0.25">
      <c r="B96" s="569"/>
      <c r="C96" s="570"/>
      <c r="D96" s="570"/>
      <c r="E96" s="570"/>
      <c r="F96" s="570"/>
      <c r="H96" s="592"/>
      <c r="I96" s="150"/>
      <c r="J96" s="151"/>
      <c r="K96" s="151"/>
      <c r="L96" s="151"/>
      <c r="M96" s="573"/>
      <c r="N96" s="142"/>
      <c r="O96" s="119"/>
      <c r="P96" s="119"/>
      <c r="S96" s="104"/>
      <c r="Y96" s="92"/>
      <c r="AA96" s="92"/>
      <c r="AB96"/>
      <c r="AC96"/>
      <c r="AD96"/>
      <c r="AE96"/>
      <c r="AF96"/>
      <c r="AG96"/>
      <c r="AH96"/>
      <c r="AI96"/>
      <c r="AJ96"/>
      <c r="AK96"/>
      <c r="AL96"/>
      <c r="AM96"/>
      <c r="AN96"/>
    </row>
    <row r="97" spans="2:40" x14ac:dyDescent="0.25">
      <c r="B97" s="569"/>
      <c r="C97" s="570"/>
      <c r="D97" s="570"/>
      <c r="E97" s="570"/>
      <c r="F97" s="570"/>
      <c r="H97" s="592"/>
      <c r="I97" s="150"/>
      <c r="J97" s="151"/>
      <c r="K97" s="151"/>
      <c r="L97" s="151"/>
      <c r="M97" s="573"/>
      <c r="N97" s="142"/>
      <c r="O97" s="119"/>
      <c r="P97" s="119"/>
      <c r="S97" s="104"/>
      <c r="Y97" s="92"/>
      <c r="AA97" s="92"/>
      <c r="AB97"/>
      <c r="AC97"/>
      <c r="AD97"/>
      <c r="AE97"/>
      <c r="AF97"/>
      <c r="AG97"/>
      <c r="AH97"/>
      <c r="AI97"/>
      <c r="AJ97"/>
      <c r="AK97"/>
      <c r="AL97"/>
      <c r="AM97"/>
      <c r="AN97"/>
    </row>
    <row r="98" spans="2:40" x14ac:dyDescent="0.25">
      <c r="B98" s="569"/>
      <c r="C98" s="570"/>
      <c r="D98" s="570"/>
      <c r="E98" s="570"/>
      <c r="F98" s="570"/>
      <c r="H98" s="592"/>
      <c r="I98" s="150"/>
      <c r="J98" s="151"/>
      <c r="K98" s="151"/>
      <c r="L98" s="151"/>
      <c r="M98" s="573"/>
      <c r="N98" s="142"/>
      <c r="O98" s="119"/>
      <c r="P98" s="368"/>
      <c r="S98" s="104"/>
      <c r="Y98" s="92"/>
      <c r="AA98" s="92"/>
      <c r="AB98"/>
      <c r="AC98"/>
      <c r="AD98"/>
      <c r="AE98"/>
      <c r="AF98"/>
      <c r="AG98"/>
      <c r="AH98"/>
      <c r="AI98"/>
      <c r="AJ98"/>
      <c r="AK98"/>
      <c r="AL98"/>
      <c r="AM98"/>
      <c r="AN98"/>
    </row>
    <row r="99" spans="2:40" x14ac:dyDescent="0.25">
      <c r="B99" s="569"/>
      <c r="C99" s="570"/>
      <c r="D99" s="570"/>
      <c r="E99" s="570"/>
      <c r="F99" s="570"/>
      <c r="H99" s="592"/>
      <c r="I99" s="150"/>
      <c r="J99" s="151"/>
      <c r="K99" s="151"/>
      <c r="L99" s="151"/>
      <c r="M99" s="573"/>
      <c r="N99" s="142"/>
      <c r="O99" s="119"/>
      <c r="P99" s="119"/>
      <c r="S99" s="104"/>
      <c r="Y99" s="92"/>
      <c r="AA99" s="92"/>
      <c r="AB99"/>
      <c r="AC99"/>
      <c r="AD99"/>
      <c r="AE99"/>
      <c r="AF99"/>
      <c r="AG99"/>
      <c r="AH99"/>
      <c r="AI99"/>
      <c r="AJ99"/>
      <c r="AK99"/>
      <c r="AL99"/>
      <c r="AM99"/>
      <c r="AN99"/>
    </row>
    <row r="100" spans="2:40" x14ac:dyDescent="0.25">
      <c r="B100" s="569"/>
      <c r="C100" s="570"/>
      <c r="D100" s="570"/>
      <c r="E100" s="570"/>
      <c r="F100" s="570"/>
      <c r="H100" s="592"/>
      <c r="I100" s="150"/>
      <c r="J100" s="151"/>
      <c r="K100" s="151"/>
      <c r="L100" s="151"/>
      <c r="M100" s="573"/>
      <c r="N100" s="142"/>
      <c r="O100" s="119"/>
      <c r="P100" s="119"/>
      <c r="S100" s="104"/>
      <c r="Y100" s="92"/>
      <c r="AA100" s="92"/>
      <c r="AB100"/>
      <c r="AC100"/>
      <c r="AD100"/>
      <c r="AE100"/>
      <c r="AF100"/>
      <c r="AG100"/>
      <c r="AH100"/>
      <c r="AI100"/>
      <c r="AJ100"/>
      <c r="AK100"/>
      <c r="AL100"/>
      <c r="AM100"/>
      <c r="AN100"/>
    </row>
    <row r="101" spans="2:40" ht="15" customHeight="1" x14ac:dyDescent="0.25">
      <c r="B101" s="564"/>
      <c r="C101" s="565"/>
      <c r="D101" s="565"/>
      <c r="E101" s="565"/>
      <c r="F101" s="565"/>
      <c r="H101" s="592"/>
      <c r="I101" s="150"/>
      <c r="J101" s="151"/>
      <c r="K101" s="151"/>
      <c r="L101" s="151"/>
      <c r="M101" s="573"/>
      <c r="N101" s="142"/>
      <c r="O101" s="119"/>
      <c r="P101" s="119"/>
      <c r="S101" s="104"/>
      <c r="Y101" s="92"/>
      <c r="AA101" s="129"/>
      <c r="AB101"/>
      <c r="AC101"/>
      <c r="AD101"/>
      <c r="AE101"/>
      <c r="AF101"/>
      <c r="AG101"/>
      <c r="AH101"/>
      <c r="AI101"/>
      <c r="AJ101"/>
      <c r="AK101"/>
      <c r="AL101"/>
      <c r="AM101"/>
      <c r="AN101"/>
    </row>
    <row r="102" spans="2:40" x14ac:dyDescent="0.25">
      <c r="B102" s="564"/>
      <c r="C102" s="565"/>
      <c r="D102" s="565"/>
      <c r="E102" s="565"/>
      <c r="F102" s="565"/>
      <c r="H102" s="592"/>
      <c r="I102" s="150"/>
      <c r="J102" s="151"/>
      <c r="K102" s="151"/>
      <c r="L102" s="151"/>
      <c r="M102" s="573"/>
      <c r="N102" s="142"/>
      <c r="O102" s="119"/>
      <c r="P102" s="494"/>
      <c r="S102" s="104"/>
      <c r="Y102" s="92"/>
      <c r="AA102" s="92"/>
      <c r="AB102"/>
      <c r="AC102"/>
      <c r="AD102"/>
      <c r="AE102"/>
      <c r="AF102"/>
      <c r="AG102"/>
      <c r="AH102"/>
      <c r="AI102"/>
      <c r="AJ102"/>
      <c r="AK102"/>
      <c r="AL102"/>
      <c r="AM102"/>
      <c r="AN102"/>
    </row>
    <row r="103" spans="2:40" x14ac:dyDescent="0.25">
      <c r="B103" s="564"/>
      <c r="C103" s="565"/>
      <c r="D103" s="565"/>
      <c r="E103" s="565"/>
      <c r="F103" s="565"/>
      <c r="H103" s="592"/>
      <c r="I103" s="150"/>
      <c r="J103" s="151"/>
      <c r="K103" s="151"/>
      <c r="L103" s="151"/>
      <c r="M103" s="573"/>
      <c r="O103" s="493"/>
      <c r="P103" s="493"/>
      <c r="S103" s="104"/>
      <c r="AA103"/>
      <c r="AB103"/>
      <c r="AC103"/>
      <c r="AD103"/>
      <c r="AE103"/>
      <c r="AF103"/>
      <c r="AG103"/>
      <c r="AH103"/>
      <c r="AI103"/>
      <c r="AJ103"/>
      <c r="AK103"/>
      <c r="AL103"/>
      <c r="AM103"/>
      <c r="AN103"/>
    </row>
    <row r="104" spans="2:40" ht="15.75" thickBot="1" x14ac:dyDescent="0.3">
      <c r="M104"/>
      <c r="O104" s="493"/>
      <c r="P104" s="493"/>
      <c r="S104" s="104"/>
      <c r="AA104"/>
      <c r="AB104"/>
      <c r="AC104"/>
      <c r="AD104"/>
      <c r="AE104"/>
      <c r="AF104"/>
      <c r="AG104"/>
      <c r="AH104"/>
      <c r="AI104"/>
      <c r="AJ104"/>
      <c r="AK104"/>
      <c r="AL104"/>
      <c r="AM104"/>
      <c r="AN104"/>
    </row>
    <row r="105" spans="2:40" ht="15.75" x14ac:dyDescent="0.25">
      <c r="G105" s="92" t="s">
        <v>633</v>
      </c>
      <c r="I105" s="594" t="e" cm="1">
        <f t="array" aca="1" ref="I105" ca="1">IF(IFERROR(INDEX(OFFSET(J61:J83,0,-1),MATCH(TRUE,($J$61:$J$83)&gt;=IF(E126&gt;100,100,E126),0)),MAX(I61:I83))&lt;E131,INDEX(H61:H83,MATCH(E131,I61:I83,0)),IFERROR(INDEX(OFFSET(J61:J83,0,-2),MATCH(TRUE,($J$61:$J$83)&gt;=IF(E126&gt;100,100,E126),0)),INDEX(OFFSET($J$61:$J$83,0,-2),MATCH(MAX($J$61:$J$83),$J$61:$J$83,0))))</f>
        <v>#N/A</v>
      </c>
      <c r="J105" s="160"/>
      <c r="K105" s="160"/>
      <c r="L105" s="161"/>
      <c r="O105" s="493"/>
      <c r="P105" s="493"/>
      <c r="Q105"/>
      <c r="S105" s="104"/>
      <c r="AA105"/>
      <c r="AB105"/>
      <c r="AC105"/>
      <c r="AD105"/>
      <c r="AE105"/>
      <c r="AF105"/>
      <c r="AG105"/>
      <c r="AH105"/>
      <c r="AI105"/>
      <c r="AJ105"/>
      <c r="AK105"/>
      <c r="AL105"/>
      <c r="AM105"/>
      <c r="AN105"/>
    </row>
    <row r="106" spans="2:40" ht="15.75" x14ac:dyDescent="0.25">
      <c r="H106" s="92" t="s">
        <v>634</v>
      </c>
      <c r="I106" s="595" t="e">
        <f ca="1">VLOOKUP(I105,H61:I83,2,FALSE)</f>
        <v>#N/A</v>
      </c>
      <c r="J106" s="163"/>
      <c r="K106" s="593"/>
      <c r="L106" s="164"/>
      <c r="O106" s="493"/>
      <c r="P106" s="493"/>
      <c r="S106" s="104"/>
      <c r="AA106"/>
      <c r="AB106"/>
      <c r="AC106"/>
      <c r="AD106"/>
      <c r="AE106"/>
      <c r="AF106"/>
      <c r="AG106"/>
      <c r="AH106"/>
      <c r="AI106"/>
      <c r="AJ106"/>
      <c r="AK106"/>
      <c r="AL106"/>
      <c r="AM106"/>
      <c r="AN106"/>
    </row>
    <row r="107" spans="2:40" ht="16.5" thickBot="1" x14ac:dyDescent="0.3">
      <c r="B107"/>
      <c r="C107"/>
      <c r="D107"/>
      <c r="E107"/>
      <c r="F107"/>
      <c r="I107" s="596" t="e">
        <f ca="1">IF(G68=J60,I106,0)</f>
        <v>#N/A</v>
      </c>
      <c r="J107" s="166"/>
      <c r="K107" s="118"/>
      <c r="L107" s="167"/>
      <c r="N107"/>
      <c r="O107" s="493"/>
      <c r="P107" s="493"/>
      <c r="S107" s="104"/>
      <c r="AA107"/>
      <c r="AB107"/>
      <c r="AC107"/>
      <c r="AD107"/>
      <c r="AE107"/>
      <c r="AF107"/>
      <c r="AG107"/>
      <c r="AH107"/>
      <c r="AI107"/>
      <c r="AJ107"/>
      <c r="AK107"/>
      <c r="AL107"/>
      <c r="AM107"/>
      <c r="AN107"/>
    </row>
    <row r="108" spans="2:40" ht="15.75" x14ac:dyDescent="0.25">
      <c r="B108" s="706" t="e">
        <f>#REF!</f>
        <v>#REF!</v>
      </c>
      <c r="C108" s="707"/>
      <c r="D108" s="707"/>
      <c r="E108" s="168" t="s">
        <v>635</v>
      </c>
      <c r="F108"/>
      <c r="I108" s="595" t="e">
        <f ca="1">VLOOKUP(I105,H61:J104,3,FALSE)</f>
        <v>#N/A</v>
      </c>
      <c r="J108" s="163"/>
      <c r="K108" s="163"/>
      <c r="L108" s="169"/>
      <c r="N108"/>
      <c r="O108" s="493"/>
      <c r="P108" s="493"/>
      <c r="S108" s="104"/>
      <c r="AA108"/>
      <c r="AB108"/>
      <c r="AC108"/>
      <c r="AD108"/>
      <c r="AE108"/>
      <c r="AF108"/>
      <c r="AG108"/>
      <c r="AH108"/>
      <c r="AI108"/>
      <c r="AJ108"/>
      <c r="AK108"/>
      <c r="AL108"/>
      <c r="AM108"/>
      <c r="AN108"/>
    </row>
    <row r="109" spans="2:40" ht="16.5" thickBot="1" x14ac:dyDescent="0.3">
      <c r="B109" s="765" t="str">
        <f>'CoreFlex (LP)'!B48</f>
        <v>30 Year Fixed Only</v>
      </c>
      <c r="C109" s="766"/>
      <c r="D109" s="563">
        <f>'CoreFlex (LP)'!B46</f>
        <v>99</v>
      </c>
      <c r="E109" s="587">
        <f>IF(OR('CoreFlex (LP)'!O23=L3),D109,"")</f>
        <v>99</v>
      </c>
      <c r="F109"/>
      <c r="I109" s="597" t="e">
        <f ca="1">IF(G68=J60,I108,0)</f>
        <v>#N/A</v>
      </c>
      <c r="J109" s="174"/>
      <c r="K109" s="174"/>
      <c r="L109" s="176"/>
      <c r="N109" s="142" t="e">
        <f ca="1">SUM(I107:L107)</f>
        <v>#N/A</v>
      </c>
      <c r="O109" s="493"/>
      <c r="P109" s="493"/>
      <c r="S109" s="104"/>
      <c r="AA109"/>
      <c r="AB109"/>
      <c r="AC109"/>
      <c r="AD109"/>
      <c r="AE109"/>
      <c r="AF109"/>
      <c r="AG109"/>
      <c r="AH109"/>
      <c r="AI109"/>
      <c r="AJ109"/>
      <c r="AK109"/>
      <c r="AL109"/>
      <c r="AM109"/>
      <c r="AN109"/>
    </row>
    <row r="110" spans="2:40" x14ac:dyDescent="0.25">
      <c r="B110" s="709"/>
      <c r="C110" s="710"/>
      <c r="D110" s="547"/>
      <c r="E110" s="588"/>
      <c r="F110"/>
      <c r="O110" s="119"/>
      <c r="P110" s="119"/>
      <c r="S110" s="104"/>
      <c r="AA110"/>
      <c r="AB110"/>
      <c r="AC110"/>
      <c r="AD110"/>
      <c r="AE110"/>
      <c r="AF110"/>
      <c r="AG110"/>
      <c r="AH110"/>
      <c r="AI110"/>
      <c r="AJ110"/>
      <c r="AK110"/>
      <c r="AL110"/>
      <c r="AM110"/>
      <c r="AN110"/>
    </row>
    <row r="111" spans="2:40" x14ac:dyDescent="0.25">
      <c r="B111" s="709"/>
      <c r="C111" s="710"/>
      <c r="D111" s="547"/>
      <c r="E111" s="588"/>
      <c r="F111"/>
      <c r="N111" s="142" t="e">
        <f ca="1">SUM(I109:L109)</f>
        <v>#N/A</v>
      </c>
      <c r="O111" s="119"/>
      <c r="P111" s="119"/>
      <c r="S111" s="104"/>
      <c r="AA111"/>
      <c r="AB111"/>
      <c r="AC111"/>
      <c r="AD111"/>
      <c r="AE111"/>
      <c r="AF111"/>
      <c r="AG111"/>
      <c r="AH111"/>
      <c r="AI111"/>
      <c r="AJ111"/>
      <c r="AK111"/>
      <c r="AL111"/>
      <c r="AM111"/>
      <c r="AN111"/>
    </row>
    <row r="112" spans="2:40" ht="15.75" thickBot="1" x14ac:dyDescent="0.3">
      <c r="B112" s="709"/>
      <c r="C112" s="710"/>
      <c r="D112" s="547"/>
      <c r="E112" s="588"/>
      <c r="F112"/>
      <c r="G112"/>
      <c r="H112"/>
      <c r="I112"/>
      <c r="J112"/>
      <c r="K112"/>
      <c r="L112"/>
      <c r="M112"/>
      <c r="O112" s="119"/>
      <c r="P112" s="119"/>
      <c r="S112" s="104"/>
      <c r="AA112"/>
      <c r="AB112"/>
      <c r="AC112"/>
      <c r="AD112"/>
      <c r="AE112"/>
      <c r="AF112"/>
      <c r="AG112"/>
      <c r="AH112"/>
      <c r="AI112"/>
      <c r="AJ112"/>
      <c r="AK112"/>
      <c r="AL112"/>
      <c r="AM112"/>
      <c r="AN112"/>
    </row>
    <row r="113" spans="2:37" x14ac:dyDescent="0.25">
      <c r="B113" s="709"/>
      <c r="C113" s="710"/>
      <c r="D113" s="547"/>
      <c r="E113" s="588"/>
      <c r="F113"/>
      <c r="G113"/>
      <c r="H113"/>
      <c r="I113" s="699" t="s">
        <v>636</v>
      </c>
      <c r="J113" s="700"/>
      <c r="K113" s="177" t="e">
        <f ca="1">IF(L113="","",N109)</f>
        <v>#N/A</v>
      </c>
      <c r="L113" s="178" t="e">
        <f ca="1">IF(N111&gt;E126,E126,N111)</f>
        <v>#N/A</v>
      </c>
      <c r="M113"/>
      <c r="O113" s="119"/>
      <c r="P113" s="119"/>
      <c r="S113" s="104"/>
      <c r="X113"/>
      <c r="Y113"/>
      <c r="Z113"/>
      <c r="AA113"/>
      <c r="AB113"/>
      <c r="AC113"/>
      <c r="AD113"/>
      <c r="AE113"/>
      <c r="AF113"/>
      <c r="AG113"/>
      <c r="AH113"/>
      <c r="AI113"/>
      <c r="AJ113"/>
      <c r="AK113"/>
    </row>
    <row r="114" spans="2:37" ht="15.75" thickBot="1" x14ac:dyDescent="0.3">
      <c r="B114" s="709"/>
      <c r="C114" s="710"/>
      <c r="D114" s="547"/>
      <c r="E114" s="588"/>
      <c r="F114"/>
      <c r="G114"/>
      <c r="H114"/>
      <c r="I114" s="704"/>
      <c r="J114" s="705"/>
      <c r="K114" s="179"/>
      <c r="L114" s="180"/>
      <c r="M114"/>
      <c r="O114" s="119"/>
      <c r="P114" s="119"/>
      <c r="S114" s="104"/>
      <c r="X114"/>
      <c r="Y114"/>
      <c r="Z114"/>
      <c r="AA114"/>
      <c r="AB114"/>
      <c r="AC114"/>
      <c r="AD114"/>
      <c r="AE114"/>
      <c r="AF114"/>
      <c r="AG114"/>
      <c r="AH114"/>
      <c r="AI114"/>
      <c r="AJ114"/>
      <c r="AK114"/>
    </row>
    <row r="115" spans="2:37" x14ac:dyDescent="0.25">
      <c r="B115" s="709"/>
      <c r="C115" s="710"/>
      <c r="D115" s="547"/>
      <c r="E115" s="588"/>
      <c r="F115"/>
      <c r="G115"/>
      <c r="H115"/>
      <c r="I115" s="181"/>
      <c r="J115" s="181"/>
      <c r="K115" s="182"/>
      <c r="L115" s="182"/>
      <c r="M115"/>
      <c r="O115" s="119"/>
      <c r="P115" s="119"/>
      <c r="S115" s="104"/>
      <c r="X115"/>
      <c r="Y115"/>
      <c r="Z115"/>
      <c r="AA115"/>
      <c r="AB115"/>
      <c r="AC115"/>
      <c r="AD115"/>
      <c r="AE115"/>
      <c r="AF115"/>
      <c r="AG115"/>
      <c r="AH115"/>
      <c r="AI115"/>
      <c r="AJ115"/>
      <c r="AK115"/>
    </row>
    <row r="116" spans="2:37" x14ac:dyDescent="0.25">
      <c r="B116" s="709"/>
      <c r="C116" s="710"/>
      <c r="D116" s="548"/>
      <c r="E116" s="588"/>
      <c r="F116"/>
      <c r="G116"/>
      <c r="H116"/>
      <c r="I116"/>
      <c r="J116"/>
      <c r="K116"/>
      <c r="L116"/>
      <c r="M116"/>
      <c r="O116" s="119"/>
      <c r="P116" s="119"/>
      <c r="S116" s="104"/>
      <c r="X116"/>
      <c r="Y116"/>
      <c r="Z116"/>
      <c r="AA116"/>
      <c r="AB116"/>
      <c r="AC116"/>
      <c r="AD116"/>
      <c r="AE116"/>
      <c r="AF116"/>
      <c r="AG116"/>
      <c r="AH116"/>
      <c r="AI116"/>
      <c r="AJ116"/>
      <c r="AK116"/>
    </row>
    <row r="117" spans="2:37" x14ac:dyDescent="0.25">
      <c r="B117" s="709"/>
      <c r="C117" s="710"/>
      <c r="D117" s="548"/>
      <c r="E117" s="588"/>
      <c r="F117"/>
      <c r="G117"/>
      <c r="H117"/>
      <c r="I117"/>
      <c r="J117"/>
      <c r="K117"/>
      <c r="L117"/>
      <c r="M117"/>
      <c r="O117" s="119"/>
      <c r="P117" s="119"/>
      <c r="S117" s="104"/>
      <c r="X117"/>
      <c r="Y117"/>
      <c r="Z117"/>
      <c r="AA117"/>
      <c r="AB117"/>
      <c r="AC117"/>
      <c r="AD117"/>
      <c r="AE117"/>
      <c r="AF117"/>
      <c r="AG117"/>
      <c r="AH117"/>
      <c r="AI117"/>
      <c r="AJ117"/>
      <c r="AK117"/>
    </row>
    <row r="118" spans="2:37" x14ac:dyDescent="0.25">
      <c r="B118" s="709"/>
      <c r="C118" s="710"/>
      <c r="D118" s="548"/>
      <c r="E118" s="588"/>
      <c r="F118"/>
      <c r="G118"/>
      <c r="H118"/>
      <c r="I118"/>
      <c r="J118"/>
      <c r="K118"/>
      <c r="L118"/>
      <c r="M118"/>
      <c r="O118" s="119"/>
      <c r="P118" s="119"/>
      <c r="S118" s="104"/>
      <c r="X118"/>
      <c r="Y118"/>
      <c r="Z118"/>
      <c r="AA118"/>
      <c r="AB118"/>
      <c r="AC118"/>
      <c r="AD118"/>
      <c r="AE118"/>
      <c r="AF118"/>
      <c r="AG118"/>
      <c r="AH118"/>
      <c r="AI118"/>
      <c r="AJ118"/>
      <c r="AK118"/>
    </row>
    <row r="119" spans="2:37" x14ac:dyDescent="0.25">
      <c r="B119" s="709"/>
      <c r="C119" s="710"/>
      <c r="D119" s="548"/>
      <c r="E119" s="588"/>
      <c r="F119"/>
      <c r="G119"/>
      <c r="H119"/>
      <c r="I119"/>
      <c r="J119"/>
      <c r="K119"/>
      <c r="L119"/>
      <c r="M119"/>
      <c r="O119" s="119"/>
      <c r="P119" s="119"/>
      <c r="S119" s="104"/>
    </row>
    <row r="120" spans="2:37" x14ac:dyDescent="0.25">
      <c r="B120" s="709"/>
      <c r="C120" s="710"/>
      <c r="D120" s="548"/>
      <c r="E120" s="588"/>
      <c r="F120"/>
      <c r="G120"/>
      <c r="H120"/>
      <c r="I120"/>
      <c r="J120"/>
      <c r="K120"/>
      <c r="L120"/>
      <c r="M120"/>
      <c r="O120" s="119"/>
      <c r="P120" s="119"/>
      <c r="S120" s="104"/>
    </row>
    <row r="121" spans="2:37" x14ac:dyDescent="0.25">
      <c r="B121" s="709"/>
      <c r="C121" s="710"/>
      <c r="D121" s="548"/>
      <c r="E121" s="589"/>
      <c r="F121"/>
      <c r="G121"/>
      <c r="H121"/>
      <c r="I121"/>
      <c r="J121"/>
      <c r="K121"/>
      <c r="L121"/>
      <c r="M121"/>
      <c r="O121" s="119"/>
      <c r="P121" s="119"/>
      <c r="S121" s="104"/>
    </row>
    <row r="122" spans="2:37" x14ac:dyDescent="0.25">
      <c r="B122" s="709"/>
      <c r="C122" s="710"/>
      <c r="D122" s="548"/>
      <c r="E122" s="589"/>
      <c r="F122"/>
      <c r="G122"/>
      <c r="H122"/>
      <c r="I122"/>
      <c r="J122"/>
      <c r="K122"/>
      <c r="L122"/>
      <c r="M122"/>
      <c r="O122" s="119"/>
      <c r="P122" s="119"/>
      <c r="S122" s="104"/>
    </row>
    <row r="123" spans="2:37" x14ac:dyDescent="0.25">
      <c r="B123" s="709"/>
      <c r="C123" s="710"/>
      <c r="D123" s="548"/>
      <c r="E123" s="588"/>
      <c r="F123"/>
      <c r="G123"/>
      <c r="H123"/>
      <c r="I123"/>
      <c r="J123"/>
      <c r="K123"/>
      <c r="L123"/>
      <c r="M123"/>
      <c r="O123" s="119"/>
      <c r="P123" s="119"/>
      <c r="S123" s="104"/>
    </row>
    <row r="124" spans="2:37" x14ac:dyDescent="0.25">
      <c r="B124" s="170"/>
      <c r="C124" s="171"/>
      <c r="D124" s="548"/>
      <c r="E124" s="588"/>
      <c r="F124"/>
      <c r="G124"/>
      <c r="H124"/>
      <c r="I124"/>
      <c r="J124"/>
      <c r="K124"/>
      <c r="L124"/>
      <c r="M124"/>
      <c r="O124" s="119"/>
      <c r="P124" s="119"/>
      <c r="S124" s="104"/>
    </row>
    <row r="125" spans="2:37" ht="15.75" thickBot="1" x14ac:dyDescent="0.3">
      <c r="B125" s="503"/>
      <c r="C125" s="504"/>
      <c r="D125" s="549"/>
      <c r="E125" s="590"/>
      <c r="F125"/>
      <c r="G125"/>
      <c r="H125"/>
      <c r="I125"/>
      <c r="J125"/>
      <c r="K125"/>
      <c r="L125"/>
      <c r="M125"/>
      <c r="O125" s="119"/>
      <c r="P125" s="119"/>
      <c r="S125" s="104"/>
    </row>
    <row r="126" spans="2:37" ht="15.75" thickBot="1" x14ac:dyDescent="0.3">
      <c r="D126" s="102" t="s">
        <v>638</v>
      </c>
      <c r="E126" s="550">
        <f>IF(E125&lt;&gt;"",E125,IF(E123&lt;&gt;"",E123,MIN(E109:E122)))</f>
        <v>99</v>
      </c>
      <c r="F126"/>
      <c r="G126"/>
      <c r="H126"/>
      <c r="I126"/>
      <c r="J126"/>
      <c r="K126"/>
      <c r="L126"/>
      <c r="M126"/>
      <c r="O126" s="119"/>
      <c r="P126" s="119"/>
      <c r="S126" s="104"/>
    </row>
    <row r="127" spans="2:37" ht="15.75" thickBot="1" x14ac:dyDescent="0.3">
      <c r="F127"/>
      <c r="G127"/>
      <c r="H127"/>
      <c r="I127"/>
      <c r="J127"/>
      <c r="K127"/>
      <c r="L127"/>
      <c r="M127"/>
      <c r="O127" s="119"/>
      <c r="P127" s="119"/>
      <c r="S127" s="104"/>
    </row>
    <row r="128" spans="2:37" ht="15.75" thickBot="1" x14ac:dyDescent="0.3">
      <c r="B128" s="551" t="s">
        <v>139</v>
      </c>
      <c r="C128" s="552"/>
      <c r="D128" s="553"/>
      <c r="E128" s="554" t="s">
        <v>635</v>
      </c>
      <c r="F128"/>
      <c r="G128"/>
      <c r="H128"/>
      <c r="I128"/>
      <c r="J128"/>
      <c r="K128"/>
      <c r="L128"/>
      <c r="M128"/>
      <c r="O128" s="119"/>
      <c r="P128" s="119"/>
      <c r="S128" s="104"/>
    </row>
    <row r="129" spans="2:23" x14ac:dyDescent="0.25">
      <c r="B129" s="555"/>
      <c r="C129" s="556"/>
      <c r="D129" s="557"/>
      <c r="E129" s="561"/>
      <c r="F129"/>
      <c r="G129"/>
      <c r="H129"/>
      <c r="I129"/>
      <c r="J129"/>
      <c r="K129"/>
      <c r="L129"/>
      <c r="M129"/>
      <c r="O129" s="119"/>
      <c r="P129" s="119"/>
      <c r="S129" s="104"/>
    </row>
    <row r="130" spans="2:23" ht="15.75" thickBot="1" x14ac:dyDescent="0.3">
      <c r="B130" s="558"/>
      <c r="C130" s="559"/>
      <c r="D130" s="560"/>
      <c r="E130" s="562"/>
      <c r="F130"/>
      <c r="G130"/>
      <c r="H130"/>
      <c r="I130"/>
      <c r="J130"/>
      <c r="K130"/>
      <c r="L130"/>
      <c r="M130"/>
      <c r="O130" s="119"/>
      <c r="P130" s="119"/>
      <c r="S130" s="104"/>
    </row>
    <row r="131" spans="2:23" ht="15.75" thickBot="1" x14ac:dyDescent="0.3">
      <c r="D131" s="102" t="s">
        <v>638</v>
      </c>
      <c r="E131" s="550">
        <f>MIN(E129:E130)</f>
        <v>0</v>
      </c>
      <c r="F131"/>
      <c r="G131"/>
      <c r="H131"/>
      <c r="I131"/>
      <c r="J131"/>
      <c r="K131"/>
      <c r="L131"/>
      <c r="M131"/>
      <c r="O131" s="119"/>
      <c r="P131" s="119"/>
      <c r="S131" s="104"/>
    </row>
    <row r="132" spans="2:23" x14ac:dyDescent="0.25">
      <c r="F132"/>
      <c r="G132"/>
      <c r="H132"/>
      <c r="I132"/>
      <c r="J132"/>
      <c r="K132"/>
      <c r="L132"/>
      <c r="M132"/>
      <c r="O132" s="119"/>
      <c r="P132" s="119"/>
      <c r="S132" s="104"/>
    </row>
    <row r="138" spans="2:23" ht="15.75" thickBot="1" x14ac:dyDescent="0.3"/>
    <row r="139" spans="2:23" ht="15.75" thickBot="1" x14ac:dyDescent="0.3">
      <c r="B139" s="574" t="s">
        <v>765</v>
      </c>
      <c r="C139" s="104"/>
      <c r="D139" s="104"/>
      <c r="E139" s="104"/>
    </row>
    <row r="140" spans="2:23" ht="35.25" customHeight="1" x14ac:dyDescent="0.25">
      <c r="B140" s="574" t="s">
        <v>31</v>
      </c>
      <c r="C140" s="574" t="s">
        <v>765</v>
      </c>
      <c r="D140" s="551"/>
      <c r="E140" s="551"/>
    </row>
    <row r="141" spans="2:23" ht="40.5" x14ac:dyDescent="0.25">
      <c r="B141" s="542" t="s">
        <v>766</v>
      </c>
      <c r="C141" s="542" t="s">
        <v>766</v>
      </c>
      <c r="D141" s="465" t="s">
        <v>778</v>
      </c>
      <c r="E141" s="545">
        <v>0</v>
      </c>
    </row>
    <row r="142" spans="2:23" ht="40.5" x14ac:dyDescent="0.25">
      <c r="B142" s="542" t="s">
        <v>767</v>
      </c>
      <c r="C142" s="542" t="s">
        <v>767</v>
      </c>
      <c r="D142" s="465" t="s">
        <v>779</v>
      </c>
      <c r="E142" s="545">
        <v>0.15</v>
      </c>
    </row>
    <row r="143" spans="2:23" ht="40.5" x14ac:dyDescent="0.25">
      <c r="B143" s="542" t="s">
        <v>768</v>
      </c>
      <c r="C143" s="542" t="s">
        <v>768</v>
      </c>
      <c r="D143" s="465" t="s">
        <v>780</v>
      </c>
      <c r="E143" s="545">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44AB-106B-47A7-BA0C-10CBDB68D977}">
  <sheetPr codeName="Sheet6">
    <tabColor theme="5"/>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18.1406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7" t="s">
        <v>645</v>
      </c>
      <c r="O1" s="657"/>
      <c r="P1" s="657"/>
      <c r="Q1" s="2"/>
      <c r="R1" s="658"/>
      <c r="S1" s="658"/>
      <c r="T1" s="2"/>
      <c r="U1" s="2"/>
      <c r="V1" s="3"/>
    </row>
    <row r="2" spans="1:25" ht="17.45" customHeight="1" x14ac:dyDescent="0.25">
      <c r="B2" s="894" t="s">
        <v>929</v>
      </c>
      <c r="C2" s="895"/>
      <c r="D2" s="895"/>
      <c r="N2" s="659" t="s">
        <v>1</v>
      </c>
      <c r="O2" s="659"/>
      <c r="P2" s="659"/>
      <c r="Q2" s="4"/>
      <c r="R2" s="660"/>
      <c r="S2" s="660"/>
      <c r="T2" s="2"/>
      <c r="U2" s="2"/>
      <c r="V2" s="3"/>
    </row>
    <row r="3" spans="1:25" ht="17.45" customHeight="1" x14ac:dyDescent="0.25">
      <c r="B3" s="508" t="s">
        <v>823</v>
      </c>
      <c r="C3" s="622" t="s">
        <v>895</v>
      </c>
      <c r="D3" s="623"/>
      <c r="N3" s="659" t="s">
        <v>2</v>
      </c>
      <c r="O3" s="659"/>
      <c r="P3" s="659"/>
      <c r="Q3" s="4"/>
      <c r="R3" s="660"/>
      <c r="S3" s="660"/>
      <c r="T3" s="4"/>
      <c r="U3" s="4"/>
    </row>
    <row r="4" spans="1:25" ht="17.45" customHeight="1" x14ac:dyDescent="0.25">
      <c r="B4"/>
      <c r="C4"/>
      <c r="D4"/>
      <c r="F4" s="5"/>
      <c r="M4" s="6"/>
      <c r="N4" s="7"/>
      <c r="O4" s="7"/>
      <c r="P4" s="7"/>
      <c r="Q4" s="8"/>
      <c r="R4" s="4"/>
      <c r="S4" s="4"/>
      <c r="T4" s="4"/>
      <c r="U4" s="4"/>
    </row>
    <row r="5" spans="1:25" ht="17.45" customHeight="1" thickBot="1" x14ac:dyDescent="0.3">
      <c r="B5" s="512" t="s">
        <v>896</v>
      </c>
      <c r="C5" s="512">
        <f ca="1">NOW()</f>
        <v>46185.28454537037</v>
      </c>
      <c r="L5" s="9"/>
      <c r="M5" s="661" t="s">
        <v>3</v>
      </c>
      <c r="N5" s="661"/>
      <c r="O5" s="662">
        <v>46185</v>
      </c>
      <c r="P5" s="662"/>
      <c r="Q5" s="8"/>
      <c r="T5" s="3"/>
      <c r="U5" s="3"/>
    </row>
    <row r="6" spans="1:25" ht="17.45" customHeight="1" x14ac:dyDescent="0.25">
      <c r="A6" s="271"/>
      <c r="B6" s="890" t="s">
        <v>4</v>
      </c>
      <c r="C6" s="891"/>
      <c r="D6" s="891"/>
      <c r="E6" s="269"/>
      <c r="F6" s="824" t="s">
        <v>646</v>
      </c>
      <c r="G6" s="825"/>
      <c r="H6" s="825"/>
      <c r="I6" s="825"/>
      <c r="J6" s="825"/>
      <c r="K6" s="825"/>
      <c r="L6" s="825"/>
      <c r="M6" s="825"/>
      <c r="N6" s="825"/>
      <c r="O6" s="825"/>
      <c r="P6" s="826"/>
      <c r="Q6" s="268"/>
      <c r="R6" s="270"/>
      <c r="S6" s="824" t="s">
        <v>5</v>
      </c>
      <c r="T6" s="825"/>
      <c r="U6" s="825"/>
      <c r="V6" s="826"/>
      <c r="W6" s="270"/>
    </row>
    <row r="7" spans="1:25" ht="17.45" customHeight="1" x14ac:dyDescent="0.25">
      <c r="A7" s="271"/>
      <c r="B7" s="890"/>
      <c r="C7" s="891"/>
      <c r="D7" s="891"/>
      <c r="E7" s="269"/>
      <c r="F7" s="827"/>
      <c r="G7" s="828"/>
      <c r="H7" s="828"/>
      <c r="I7" s="828"/>
      <c r="J7" s="828"/>
      <c r="K7" s="828"/>
      <c r="L7" s="828"/>
      <c r="M7" s="828"/>
      <c r="N7" s="828"/>
      <c r="O7" s="828"/>
      <c r="P7" s="829"/>
      <c r="Q7" s="268"/>
      <c r="R7" s="270"/>
      <c r="S7" s="830"/>
      <c r="T7" s="831"/>
      <c r="U7" s="831"/>
      <c r="V7" s="832"/>
      <c r="W7" s="270"/>
    </row>
    <row r="8" spans="1:25" ht="15.75" customHeight="1" x14ac:dyDescent="0.25">
      <c r="A8" s="271"/>
      <c r="B8" s="888"/>
      <c r="C8" s="889"/>
      <c r="D8" s="889"/>
      <c r="E8" s="270"/>
      <c r="F8" s="234"/>
      <c r="G8" s="236"/>
      <c r="H8" s="236"/>
      <c r="I8" s="236"/>
      <c r="J8" s="236"/>
      <c r="K8" s="236"/>
      <c r="L8" s="236"/>
      <c r="M8" s="236"/>
      <c r="N8" s="236"/>
      <c r="O8" s="236"/>
      <c r="P8" s="235"/>
      <c r="Q8" s="270"/>
      <c r="R8" s="270"/>
      <c r="S8" s="234"/>
      <c r="T8" s="236"/>
      <c r="U8" s="236"/>
      <c r="V8" s="235"/>
      <c r="W8" s="271"/>
    </row>
    <row r="9" spans="1:25" ht="15.75" x14ac:dyDescent="0.25">
      <c r="A9" s="271"/>
      <c r="B9" s="892" t="s">
        <v>6</v>
      </c>
      <c r="C9" s="893"/>
      <c r="D9" s="893"/>
      <c r="E9" s="270"/>
      <c r="F9" s="833" t="s">
        <v>7</v>
      </c>
      <c r="G9" s="834"/>
      <c r="H9" s="834"/>
      <c r="I9" s="834"/>
      <c r="J9" s="834"/>
      <c r="K9" s="834"/>
      <c r="L9" s="834"/>
      <c r="M9" s="834"/>
      <c r="N9" s="834"/>
      <c r="O9" s="834"/>
      <c r="P9" s="835"/>
      <c r="Q9" s="276"/>
      <c r="R9" s="270"/>
      <c r="S9" s="237"/>
      <c r="T9" s="238"/>
      <c r="U9" s="239" t="s">
        <v>8</v>
      </c>
      <c r="V9" s="240"/>
      <c r="W9" s="270"/>
    </row>
    <row r="10" spans="1:25" ht="15.75" customHeight="1" x14ac:dyDescent="0.25">
      <c r="A10" s="271"/>
      <c r="B10" s="241" t="s">
        <v>9</v>
      </c>
      <c r="C10" s="242" t="s">
        <v>209</v>
      </c>
      <c r="D10" s="242" t="s">
        <v>220</v>
      </c>
      <c r="E10" s="270"/>
      <c r="F10" s="810" t="s">
        <v>11</v>
      </c>
      <c r="G10" s="811"/>
      <c r="H10" s="245" t="s">
        <v>12</v>
      </c>
      <c r="I10" s="245" t="s">
        <v>13</v>
      </c>
      <c r="J10" s="245" t="s">
        <v>14</v>
      </c>
      <c r="K10" s="245" t="s">
        <v>15</v>
      </c>
      <c r="L10" s="245" t="s">
        <v>16</v>
      </c>
      <c r="M10" s="245" t="s">
        <v>17</v>
      </c>
      <c r="N10" s="245" t="s">
        <v>18</v>
      </c>
      <c r="O10" s="245" t="s">
        <v>19</v>
      </c>
      <c r="P10" s="242" t="s">
        <v>20</v>
      </c>
      <c r="Q10" s="277"/>
      <c r="R10" s="270"/>
      <c r="S10" s="812" t="s">
        <v>21</v>
      </c>
      <c r="T10" s="813"/>
      <c r="U10" s="14" t="s">
        <v>31</v>
      </c>
      <c r="V10" s="252"/>
      <c r="W10" s="270"/>
    </row>
    <row r="11" spans="1:25" ht="14.25" customHeight="1" x14ac:dyDescent="0.25">
      <c r="A11" s="271"/>
      <c r="B11" s="243">
        <v>5.875</v>
      </c>
      <c r="C11" s="21">
        <v>96.813000000000031</v>
      </c>
      <c r="D11" s="21">
        <v>96.513000000000034</v>
      </c>
      <c r="E11" s="270"/>
      <c r="F11" s="814" t="s">
        <v>22</v>
      </c>
      <c r="G11" s="815">
        <v>0</v>
      </c>
      <c r="H11" s="15">
        <v>0.875</v>
      </c>
      <c r="I11" s="15">
        <v>0.625</v>
      </c>
      <c r="J11" s="15">
        <v>0.625</v>
      </c>
      <c r="K11" s="15">
        <v>0.625</v>
      </c>
      <c r="L11" s="15">
        <v>0.5</v>
      </c>
      <c r="M11" s="15">
        <v>0.22500000000000001</v>
      </c>
      <c r="N11" s="15">
        <v>-0.5</v>
      </c>
      <c r="O11" s="15">
        <v>-1.625</v>
      </c>
      <c r="P11" s="16">
        <v>-3.5249999999999999</v>
      </c>
      <c r="Q11" s="278"/>
      <c r="R11" s="270"/>
      <c r="S11" s="816" t="s">
        <v>23</v>
      </c>
      <c r="T11" s="817"/>
      <c r="U11" s="17" t="s">
        <v>31</v>
      </c>
      <c r="V11" s="252"/>
      <c r="W11" s="270"/>
      <c r="X11" s="18"/>
      <c r="Y11" s="18"/>
    </row>
    <row r="12" spans="1:25" x14ac:dyDescent="0.25">
      <c r="A12" s="271"/>
      <c r="B12" s="243">
        <v>5.9989999999999997</v>
      </c>
      <c r="C12" s="21">
        <v>97.563000000000017</v>
      </c>
      <c r="D12" s="21">
        <v>97.263000000000034</v>
      </c>
      <c r="E12" s="270"/>
      <c r="F12" s="814" t="s">
        <v>24</v>
      </c>
      <c r="G12" s="815">
        <v>0</v>
      </c>
      <c r="H12" s="19">
        <v>0.65</v>
      </c>
      <c r="I12" s="19">
        <v>0.58799999999999997</v>
      </c>
      <c r="J12" s="15">
        <v>0.58799999999999997</v>
      </c>
      <c r="K12" s="19">
        <v>0.5</v>
      </c>
      <c r="L12" s="19">
        <v>0.375</v>
      </c>
      <c r="M12" s="19">
        <v>0.125</v>
      </c>
      <c r="N12" s="19">
        <v>-0.625</v>
      </c>
      <c r="O12" s="19">
        <v>-2.125</v>
      </c>
      <c r="P12" s="20">
        <v>-3.7749999999999999</v>
      </c>
      <c r="Q12" s="278"/>
      <c r="R12" s="270"/>
      <c r="S12" s="816" t="s">
        <v>25</v>
      </c>
      <c r="T12" s="817"/>
      <c r="U12" s="17" t="s">
        <v>31</v>
      </c>
      <c r="V12" s="252" t="b">
        <f>IF(ISNUMBER(MATCH($U$11,'Feed(WS)'!$B$3:$B$11,0)),
   INDEX($H$11:$P$20,MATCH($U$12,$F$11:$F$20,0),MATCH($U$11,$H$10:$P$10,0)))</f>
        <v>0</v>
      </c>
      <c r="W12" s="270"/>
      <c r="X12" s="18"/>
      <c r="Y12" s="18"/>
    </row>
    <row r="13" spans="1:25" ht="15.75" customHeight="1" x14ac:dyDescent="0.25">
      <c r="A13" s="271"/>
      <c r="B13" s="243">
        <v>6.125</v>
      </c>
      <c r="C13" s="21">
        <v>98.187500000000014</v>
      </c>
      <c r="D13" s="21">
        <v>97.887500000000031</v>
      </c>
      <c r="E13" s="270"/>
      <c r="F13" s="814" t="s">
        <v>26</v>
      </c>
      <c r="G13" s="815">
        <v>0</v>
      </c>
      <c r="H13" s="19">
        <v>0.58799999999999997</v>
      </c>
      <c r="I13" s="19">
        <v>0.5</v>
      </c>
      <c r="J13" s="15">
        <v>0.5</v>
      </c>
      <c r="K13" s="19">
        <v>0.375</v>
      </c>
      <c r="L13" s="19">
        <v>0.125</v>
      </c>
      <c r="M13" s="19">
        <v>-0.375</v>
      </c>
      <c r="N13" s="19">
        <v>-0.875</v>
      </c>
      <c r="O13" s="19">
        <v>-2.375</v>
      </c>
      <c r="P13" s="20">
        <v>-4.0250000000000004</v>
      </c>
      <c r="Q13" s="278"/>
      <c r="R13" s="270"/>
      <c r="S13" s="816" t="s">
        <v>27</v>
      </c>
      <c r="T13" s="817"/>
      <c r="U13" s="17" t="s">
        <v>28</v>
      </c>
      <c r="V13" s="252" t="e">
        <f>IF(OR($U$11="", $U$13=""), "",
   INDEX($H$23:$P$24,
         MATCH($U$13,$F$23:$F$24,0),
         MATCH($U$11,$H$10:$P$10,0)))</f>
        <v>#N/A</v>
      </c>
      <c r="W13" s="270"/>
      <c r="X13" s="18"/>
      <c r="Y13" s="18"/>
    </row>
    <row r="14" spans="1:25" ht="15.75" customHeight="1" x14ac:dyDescent="0.25">
      <c r="A14" s="271"/>
      <c r="B14" s="243">
        <v>6.25</v>
      </c>
      <c r="C14" s="21">
        <v>98.725500000000011</v>
      </c>
      <c r="D14" s="21">
        <v>98.425500000000028</v>
      </c>
      <c r="E14" s="270"/>
      <c r="F14" s="814" t="s">
        <v>29</v>
      </c>
      <c r="G14" s="815">
        <v>0</v>
      </c>
      <c r="H14" s="19">
        <v>0.5</v>
      </c>
      <c r="I14" s="19">
        <v>0.375</v>
      </c>
      <c r="J14" s="15">
        <v>0.375</v>
      </c>
      <c r="K14" s="19">
        <v>0.125</v>
      </c>
      <c r="L14" s="19">
        <v>-0.25</v>
      </c>
      <c r="M14" s="19">
        <v>-0.6</v>
      </c>
      <c r="N14" s="19">
        <v>-1.1499999999999999</v>
      </c>
      <c r="O14" s="19">
        <v>-3.125</v>
      </c>
      <c r="P14" s="20">
        <v>-4.5250000000000004</v>
      </c>
      <c r="Q14" s="278"/>
      <c r="R14" s="270"/>
      <c r="S14" s="816" t="s">
        <v>30</v>
      </c>
      <c r="T14" s="817"/>
      <c r="U14" s="17" t="s">
        <v>31</v>
      </c>
      <c r="V14" s="252">
        <f>'Feed(WS)'!$O$168</f>
        <v>0</v>
      </c>
      <c r="W14" s="270"/>
      <c r="X14" s="18"/>
      <c r="Y14" s="18"/>
    </row>
    <row r="15" spans="1:25" x14ac:dyDescent="0.25">
      <c r="A15" s="271"/>
      <c r="B15" s="243">
        <v>6.375</v>
      </c>
      <c r="C15" s="21">
        <v>99.225500000000011</v>
      </c>
      <c r="D15" s="21">
        <v>98.925500000000028</v>
      </c>
      <c r="E15" s="270"/>
      <c r="F15" s="814" t="s">
        <v>32</v>
      </c>
      <c r="G15" s="815">
        <v>0</v>
      </c>
      <c r="H15" s="19">
        <v>0.125</v>
      </c>
      <c r="I15" s="19">
        <v>-0.125</v>
      </c>
      <c r="J15" s="15">
        <v>-0.125</v>
      </c>
      <c r="K15" s="19">
        <v>-0.5</v>
      </c>
      <c r="L15" s="19">
        <v>-0.625</v>
      </c>
      <c r="M15" s="19">
        <v>-1.125</v>
      </c>
      <c r="N15" s="19">
        <v>-2.0249999999999999</v>
      </c>
      <c r="O15" s="19">
        <v>-3.875</v>
      </c>
      <c r="P15" s="20">
        <v>-5.2750000000000004</v>
      </c>
      <c r="Q15" s="278"/>
      <c r="R15" s="270"/>
      <c r="S15" s="816" t="s">
        <v>33</v>
      </c>
      <c r="T15" s="817"/>
      <c r="U15" s="17" t="s">
        <v>34</v>
      </c>
      <c r="V15" s="252" t="e">
        <f>IF(OR($U$11="", $U$15=""), "",
   INDEX($H$78:$P$82,
         MATCH($U$15,$F$78:$F$82,0),
         MATCH($U$11,$H$10:$P$10,0)))</f>
        <v>#N/A</v>
      </c>
      <c r="W15" s="270"/>
      <c r="X15" s="18"/>
      <c r="Y15" s="18"/>
    </row>
    <row r="16" spans="1:25" ht="14.25" customHeight="1" x14ac:dyDescent="0.25">
      <c r="A16" s="271"/>
      <c r="B16" s="243">
        <v>6.4989999999999997</v>
      </c>
      <c r="C16" s="21">
        <v>99.662500000000023</v>
      </c>
      <c r="D16" s="21">
        <v>99.362500000000026</v>
      </c>
      <c r="E16" s="270"/>
      <c r="F16" s="814" t="s">
        <v>35</v>
      </c>
      <c r="G16" s="815">
        <v>0</v>
      </c>
      <c r="H16" s="19">
        <v>-0.125</v>
      </c>
      <c r="I16" s="19">
        <v>-0.25</v>
      </c>
      <c r="J16" s="15">
        <v>-0.35</v>
      </c>
      <c r="K16" s="19">
        <v>-0.625</v>
      </c>
      <c r="L16" s="19">
        <v>-1.125</v>
      </c>
      <c r="M16" s="19">
        <v>-1.75</v>
      </c>
      <c r="N16" s="19">
        <v>-3.05</v>
      </c>
      <c r="O16" s="19">
        <v>-4.875</v>
      </c>
      <c r="P16" s="247" t="e">
        <v>#N/A</v>
      </c>
      <c r="Q16" s="278"/>
      <c r="R16" s="270"/>
      <c r="S16" s="816" t="s">
        <v>36</v>
      </c>
      <c r="T16" s="817"/>
      <c r="U16" s="17" t="s">
        <v>37</v>
      </c>
      <c r="V16" s="252">
        <f>IF(OR($U$11="", $U$16="", $U$16="NONE"),0,
   INDEX($H$84:$P$87,
         MATCH($U$16,$F$84:$F$87,0),
         MATCH($U$11,$H$10:$P$10,0)))</f>
        <v>0</v>
      </c>
      <c r="W16" s="270"/>
      <c r="X16" s="18"/>
      <c r="Y16" s="18"/>
    </row>
    <row r="17" spans="1:25" x14ac:dyDescent="0.25">
      <c r="A17" s="271"/>
      <c r="B17" s="243">
        <v>6.625</v>
      </c>
      <c r="C17" s="21">
        <v>100.06050000000002</v>
      </c>
      <c r="D17" s="21">
        <v>99.760500000000022</v>
      </c>
      <c r="E17" s="270"/>
      <c r="F17" s="814" t="s">
        <v>38</v>
      </c>
      <c r="G17" s="815">
        <v>0</v>
      </c>
      <c r="H17" s="19">
        <v>-0.625</v>
      </c>
      <c r="I17" s="19">
        <v>-0.625</v>
      </c>
      <c r="J17" s="15">
        <v>-0.5</v>
      </c>
      <c r="K17" s="19">
        <v>-0.875</v>
      </c>
      <c r="L17" s="19">
        <v>-1.375</v>
      </c>
      <c r="M17" s="19">
        <v>-2.7250000000000001</v>
      </c>
      <c r="N17" s="19">
        <v>-4</v>
      </c>
      <c r="O17" s="246" t="e">
        <v>#N/A</v>
      </c>
      <c r="P17" s="247" t="e">
        <v>#N/A</v>
      </c>
      <c r="Q17" s="278"/>
      <c r="R17" s="270"/>
      <c r="S17" s="816" t="s">
        <v>39</v>
      </c>
      <c r="T17" s="817"/>
      <c r="U17" s="17" t="s">
        <v>31</v>
      </c>
      <c r="V17" s="252">
        <v>0</v>
      </c>
      <c r="W17" s="270"/>
      <c r="X17" s="18"/>
      <c r="Y17" s="18"/>
    </row>
    <row r="18" spans="1:25" x14ac:dyDescent="0.25">
      <c r="A18" s="271"/>
      <c r="B18" s="243">
        <v>6.75</v>
      </c>
      <c r="C18" s="21">
        <v>100.45150000000002</v>
      </c>
      <c r="D18" s="21">
        <v>100.15150000000003</v>
      </c>
      <c r="E18" s="270"/>
      <c r="F18" s="814" t="s">
        <v>40</v>
      </c>
      <c r="G18" s="815">
        <v>0</v>
      </c>
      <c r="H18" s="19">
        <v>-1.375</v>
      </c>
      <c r="I18" s="19">
        <v>-1.5</v>
      </c>
      <c r="J18" s="15">
        <v>-1.75</v>
      </c>
      <c r="K18" s="19">
        <v>-2</v>
      </c>
      <c r="L18" s="19">
        <v>-2.25</v>
      </c>
      <c r="M18" s="19">
        <v>-3.875</v>
      </c>
      <c r="N18" s="19">
        <v>-4.9000000000000004</v>
      </c>
      <c r="O18" s="246" t="e">
        <v>#N/A</v>
      </c>
      <c r="P18" s="247" t="e">
        <v>#N/A</v>
      </c>
      <c r="Q18" s="278"/>
      <c r="R18" s="270"/>
      <c r="S18" s="816" t="s">
        <v>41</v>
      </c>
      <c r="T18" s="817"/>
      <c r="U18" s="17" t="s">
        <v>31</v>
      </c>
      <c r="V18" s="252" t="e">
        <f>IF(OR($U$11="", $U$18="", $U$18="None in this Dropdown"),0,
   INDEX($H$26:$P$30,
         MATCH($U$18,$F$26:$F$30,0),
         MATCH($U$11,$H$10:$P$10,0)))</f>
        <v>#N/A</v>
      </c>
      <c r="W18" s="270"/>
      <c r="X18" s="18"/>
      <c r="Y18" s="18"/>
    </row>
    <row r="19" spans="1:25" ht="15.75" customHeight="1" x14ac:dyDescent="0.25">
      <c r="A19" s="271"/>
      <c r="B19" s="243">
        <v>6.875</v>
      </c>
      <c r="C19" s="21">
        <v>100.83450000000002</v>
      </c>
      <c r="D19" s="21">
        <v>100.53450000000002</v>
      </c>
      <c r="E19" s="270"/>
      <c r="F19" s="814" t="s">
        <v>42</v>
      </c>
      <c r="G19" s="815">
        <v>0</v>
      </c>
      <c r="H19" s="19">
        <v>-2.5</v>
      </c>
      <c r="I19" s="19">
        <v>-2.5</v>
      </c>
      <c r="J19" s="15">
        <v>-2.625</v>
      </c>
      <c r="K19" s="19">
        <v>-2.7749999999999999</v>
      </c>
      <c r="L19" s="19">
        <v>-3.2749999999999999</v>
      </c>
      <c r="M19" s="19">
        <v>-4.7750000000000004</v>
      </c>
      <c r="N19" s="19">
        <v>-5.875</v>
      </c>
      <c r="O19" s="246" t="e">
        <v>#N/A</v>
      </c>
      <c r="P19" s="247" t="e">
        <v>#N/A</v>
      </c>
      <c r="Q19" s="278"/>
      <c r="R19" s="270"/>
      <c r="S19" s="816" t="s">
        <v>592</v>
      </c>
      <c r="T19" s="817"/>
      <c r="U19" s="17" t="s">
        <v>31</v>
      </c>
      <c r="V19" s="252">
        <f>'Feed(WS)'!$R$163</f>
        <v>0</v>
      </c>
      <c r="W19" s="270"/>
      <c r="X19" s="18"/>
      <c r="Y19" s="18"/>
    </row>
    <row r="20" spans="1:25" ht="15.75" customHeight="1" x14ac:dyDescent="0.25">
      <c r="A20" s="271"/>
      <c r="B20" s="243">
        <v>6.9989999999999997</v>
      </c>
      <c r="C20" s="21">
        <v>101.20950000000002</v>
      </c>
      <c r="D20" s="21">
        <v>100.90950000000002</v>
      </c>
      <c r="E20" s="270"/>
      <c r="F20" s="814" t="s">
        <v>44</v>
      </c>
      <c r="G20" s="815">
        <v>0</v>
      </c>
      <c r="H20" s="19">
        <v>-3</v>
      </c>
      <c r="I20" s="19">
        <v>-3.25</v>
      </c>
      <c r="J20" s="15">
        <v>-3.5</v>
      </c>
      <c r="K20" s="19">
        <v>-3.75</v>
      </c>
      <c r="L20" s="19">
        <v>-4.25</v>
      </c>
      <c r="M20" s="19">
        <v>-5.625</v>
      </c>
      <c r="N20" s="19">
        <v>-6.625</v>
      </c>
      <c r="O20" s="246" t="e">
        <v>#N/A</v>
      </c>
      <c r="P20" s="247" t="e">
        <v>#N/A</v>
      </c>
      <c r="Q20" s="278"/>
      <c r="R20" s="270"/>
      <c r="S20" s="816" t="s">
        <v>45</v>
      </c>
      <c r="T20" s="817"/>
      <c r="U20" s="17" t="s">
        <v>31</v>
      </c>
      <c r="V20" s="252">
        <f>'Feed(WS)'!$Q$163</f>
        <v>0</v>
      </c>
      <c r="W20" s="270"/>
      <c r="X20" s="18"/>
      <c r="Y20" s="18"/>
    </row>
    <row r="21" spans="1:25" ht="15.75" customHeight="1" thickBot="1" x14ac:dyDescent="0.3">
      <c r="A21" s="271"/>
      <c r="B21" s="243">
        <v>7.125</v>
      </c>
      <c r="C21" s="21">
        <v>101.57650000000002</v>
      </c>
      <c r="D21" s="21">
        <v>101.27650000000003</v>
      </c>
      <c r="E21" s="270"/>
      <c r="F21" s="836"/>
      <c r="G21" s="837"/>
      <c r="H21" s="837"/>
      <c r="I21" s="837"/>
      <c r="J21" s="837"/>
      <c r="K21" s="837"/>
      <c r="L21" s="837"/>
      <c r="M21" s="837"/>
      <c r="N21" s="837"/>
      <c r="O21" s="837"/>
      <c r="P21" s="838"/>
      <c r="Q21" s="278"/>
      <c r="R21" s="270"/>
      <c r="S21" s="816" t="s">
        <v>46</v>
      </c>
      <c r="T21" s="817"/>
      <c r="U21" s="17" t="s">
        <v>31</v>
      </c>
      <c r="V21" s="252" t="e">
        <f>IF(OR($U$11="", $U$21=""), "",
   INDEX($H$39:$P$49,
         MATCH($U$21,$F$39:$F$49,0),
         MATCH($U$11,$H$10:$P$10,0)))</f>
        <v>#N/A</v>
      </c>
      <c r="W21" s="270"/>
      <c r="X21" s="18"/>
    </row>
    <row r="22" spans="1:25" x14ac:dyDescent="0.25">
      <c r="A22" s="271"/>
      <c r="B22" s="243">
        <v>7.25</v>
      </c>
      <c r="C22" s="21">
        <v>101.93550000000002</v>
      </c>
      <c r="D22" s="21">
        <v>101.63550000000002</v>
      </c>
      <c r="E22" s="270"/>
      <c r="F22" s="818" t="s">
        <v>27</v>
      </c>
      <c r="G22" s="819"/>
      <c r="H22" s="819"/>
      <c r="I22" s="819"/>
      <c r="J22" s="819"/>
      <c r="K22" s="819"/>
      <c r="L22" s="819"/>
      <c r="M22" s="819"/>
      <c r="N22" s="819"/>
      <c r="O22" s="819"/>
      <c r="P22" s="820"/>
      <c r="Q22" s="270"/>
      <c r="R22" s="270"/>
      <c r="S22" s="816" t="s">
        <v>47</v>
      </c>
      <c r="T22" s="817"/>
      <c r="U22" s="17" t="s">
        <v>31</v>
      </c>
      <c r="V22" s="252" t="e">
        <f>IF(OR($U$11="", $U$22=""), "",
   INDEX($H$33:$P$37,
         MATCH($U$22,$F$33:$F$37,0),
         MATCH($U$11,$H$10:$P$10,0)))</f>
        <v>#N/A</v>
      </c>
      <c r="W22" s="270"/>
    </row>
    <row r="23" spans="1:25" ht="15.75" customHeight="1" x14ac:dyDescent="0.25">
      <c r="A23" s="271"/>
      <c r="B23" s="243">
        <v>7.375</v>
      </c>
      <c r="C23" s="21">
        <v>102.28750000000002</v>
      </c>
      <c r="D23" s="21">
        <v>101.98750000000003</v>
      </c>
      <c r="E23" s="270"/>
      <c r="F23" s="655" t="s">
        <v>48</v>
      </c>
      <c r="G23" s="656"/>
      <c r="H23" s="22">
        <v>0.5</v>
      </c>
      <c r="I23" s="22">
        <v>0.5</v>
      </c>
      <c r="J23" s="22">
        <v>0.5</v>
      </c>
      <c r="K23" s="22">
        <v>0.5</v>
      </c>
      <c r="L23" s="22">
        <v>0.5</v>
      </c>
      <c r="M23" s="22">
        <v>0.5</v>
      </c>
      <c r="N23" s="22">
        <v>0.5</v>
      </c>
      <c r="O23" s="22">
        <v>0.5</v>
      </c>
      <c r="P23" s="23" t="e">
        <v>#N/A</v>
      </c>
      <c r="Q23" s="270"/>
      <c r="R23" s="270"/>
      <c r="S23" s="816" t="s">
        <v>49</v>
      </c>
      <c r="T23" s="817"/>
      <c r="U23" s="17" t="s">
        <v>31</v>
      </c>
      <c r="V23" s="252">
        <f>'Feed(WS)'!$P$168</f>
        <v>0</v>
      </c>
      <c r="W23" s="270"/>
      <c r="Y23" s="24"/>
    </row>
    <row r="24" spans="1:25" ht="15.75" customHeight="1" thickBot="1" x14ac:dyDescent="0.3">
      <c r="A24" s="271"/>
      <c r="B24" s="243">
        <v>7.4989999999999997</v>
      </c>
      <c r="C24" s="21">
        <v>102.63150000000002</v>
      </c>
      <c r="D24" s="21">
        <v>102.33150000000002</v>
      </c>
      <c r="E24" s="270"/>
      <c r="F24" s="655" t="s">
        <v>28</v>
      </c>
      <c r="G24" s="656"/>
      <c r="H24" s="22">
        <v>0</v>
      </c>
      <c r="I24" s="22">
        <v>0</v>
      </c>
      <c r="J24" s="22">
        <v>0</v>
      </c>
      <c r="K24" s="22">
        <v>0</v>
      </c>
      <c r="L24" s="22">
        <v>0</v>
      </c>
      <c r="M24" s="22">
        <v>0</v>
      </c>
      <c r="N24" s="22">
        <v>0</v>
      </c>
      <c r="O24" s="22">
        <v>0</v>
      </c>
      <c r="P24" s="23">
        <v>0</v>
      </c>
      <c r="Q24" s="270"/>
      <c r="R24" s="270"/>
      <c r="S24" s="816" t="s">
        <v>50</v>
      </c>
      <c r="T24" s="817"/>
      <c r="U24" s="17" t="s">
        <v>31</v>
      </c>
      <c r="V24" s="252">
        <f>'Feed(WS)'!$P$163</f>
        <v>0</v>
      </c>
      <c r="W24" s="270"/>
      <c r="Y24" s="24"/>
    </row>
    <row r="25" spans="1:25" ht="15.75" customHeight="1" x14ac:dyDescent="0.25">
      <c r="A25" s="271"/>
      <c r="B25" s="243">
        <v>7.625</v>
      </c>
      <c r="C25" s="21">
        <v>102.96750000000003</v>
      </c>
      <c r="D25" s="21">
        <v>102.66750000000003</v>
      </c>
      <c r="E25" s="270"/>
      <c r="F25" s="818" t="s">
        <v>51</v>
      </c>
      <c r="G25" s="819"/>
      <c r="H25" s="819"/>
      <c r="I25" s="819"/>
      <c r="J25" s="819"/>
      <c r="K25" s="819"/>
      <c r="L25" s="819"/>
      <c r="M25" s="819"/>
      <c r="N25" s="819"/>
      <c r="O25" s="819"/>
      <c r="P25" s="820"/>
      <c r="Q25" s="270"/>
      <c r="R25" s="270"/>
      <c r="S25" s="816" t="s">
        <v>52</v>
      </c>
      <c r="T25" s="817"/>
      <c r="U25" s="17" t="s">
        <v>53</v>
      </c>
      <c r="V25" s="252" t="e">
        <f>'Feed(WS)'!$O$163</f>
        <v>#N/A</v>
      </c>
      <c r="W25" s="270"/>
    </row>
    <row r="26" spans="1:25" x14ac:dyDescent="0.25">
      <c r="A26" s="271"/>
      <c r="B26" s="243">
        <v>7.75</v>
      </c>
      <c r="C26" s="21">
        <v>103.29550000000002</v>
      </c>
      <c r="D26" s="21">
        <v>102.99550000000002</v>
      </c>
      <c r="E26" s="270"/>
      <c r="F26" s="655" t="s">
        <v>54</v>
      </c>
      <c r="G26" s="656"/>
      <c r="H26" s="22">
        <v>-0.25</v>
      </c>
      <c r="I26" s="22">
        <v>-0.25</v>
      </c>
      <c r="J26" s="22">
        <v>-0.25</v>
      </c>
      <c r="K26" s="22">
        <v>-0.25</v>
      </c>
      <c r="L26" s="22">
        <v>-0.25</v>
      </c>
      <c r="M26" s="22">
        <v>-0.25</v>
      </c>
      <c r="N26" s="22">
        <v>-0.25</v>
      </c>
      <c r="O26" s="22">
        <v>-0.25</v>
      </c>
      <c r="P26" s="23">
        <v>-0.5</v>
      </c>
      <c r="Q26" s="270"/>
      <c r="R26" s="270"/>
      <c r="S26" s="816" t="s">
        <v>55</v>
      </c>
      <c r="T26" s="817"/>
      <c r="U26" s="17" t="s">
        <v>56</v>
      </c>
      <c r="V26" s="252" t="e">
        <f>'Feed(WS)'!$Q$168</f>
        <v>#N/A</v>
      </c>
      <c r="W26" s="270"/>
    </row>
    <row r="27" spans="1:25" ht="15.75" customHeight="1" x14ac:dyDescent="0.25">
      <c r="A27" s="271"/>
      <c r="B27" s="243">
        <v>7.875</v>
      </c>
      <c r="C27" s="21">
        <v>103.61550000000003</v>
      </c>
      <c r="D27" s="21">
        <v>103.31550000000003</v>
      </c>
      <c r="E27" s="270"/>
      <c r="F27" s="655" t="s">
        <v>57</v>
      </c>
      <c r="G27" s="656"/>
      <c r="H27" s="22">
        <v>-0.25</v>
      </c>
      <c r="I27" s="22">
        <v>-0.25</v>
      </c>
      <c r="J27" s="22">
        <v>-0.25</v>
      </c>
      <c r="K27" s="22">
        <v>-0.25</v>
      </c>
      <c r="L27" s="22">
        <v>-0.25</v>
      </c>
      <c r="M27" s="22">
        <v>-0.25</v>
      </c>
      <c r="N27" s="22">
        <v>-0.25</v>
      </c>
      <c r="O27" s="22">
        <v>-0.25</v>
      </c>
      <c r="P27" s="23">
        <v>-0.5</v>
      </c>
      <c r="Q27" s="270"/>
      <c r="R27" s="270"/>
      <c r="S27" s="816" t="s">
        <v>58</v>
      </c>
      <c r="T27" s="817"/>
      <c r="U27" s="17" t="s">
        <v>31</v>
      </c>
      <c r="V27" s="252">
        <f>IF($U$11="", "",
   IF($U$27="Choose a Selection",0,
      INDEX($H$57:$P$68,
           MATCH($U$27,$F$57:$F$68,0),
           MATCH($U$11,$H$10:$P$10,0))))</f>
        <v>0</v>
      </c>
      <c r="W27" s="270"/>
      <c r="X27" s="3"/>
    </row>
    <row r="28" spans="1:25" ht="15.75" customHeight="1" x14ac:dyDescent="0.25">
      <c r="A28" s="271"/>
      <c r="B28" s="243">
        <v>7.9989999999999997</v>
      </c>
      <c r="C28" s="21">
        <v>103.89650000000002</v>
      </c>
      <c r="D28" s="21">
        <v>103.59650000000002</v>
      </c>
      <c r="E28" s="270"/>
      <c r="F28" s="655" t="s">
        <v>59</v>
      </c>
      <c r="G28" s="656"/>
      <c r="H28" s="22">
        <v>-0.375</v>
      </c>
      <c r="I28" s="22">
        <v>-0.5</v>
      </c>
      <c r="J28" s="22">
        <v>-0.5</v>
      </c>
      <c r="K28" s="22">
        <v>-0.5</v>
      </c>
      <c r="L28" s="22">
        <v>-0.75</v>
      </c>
      <c r="M28" s="22">
        <v>-1</v>
      </c>
      <c r="N28" s="22">
        <v>-1.5</v>
      </c>
      <c r="O28" s="22" t="e">
        <v>#N/A</v>
      </c>
      <c r="P28" s="23" t="e">
        <v>#N/A</v>
      </c>
      <c r="Q28" s="270"/>
      <c r="R28" s="270"/>
      <c r="S28" s="816" t="s">
        <v>60</v>
      </c>
      <c r="T28" s="817"/>
      <c r="U28" s="17"/>
      <c r="V28" s="252">
        <v>0</v>
      </c>
      <c r="W28" s="270"/>
      <c r="X28" s="3"/>
    </row>
    <row r="29" spans="1:25" x14ac:dyDescent="0.25">
      <c r="A29" s="271"/>
      <c r="B29" s="243">
        <v>8.125</v>
      </c>
      <c r="C29" s="21">
        <v>104.14650000000002</v>
      </c>
      <c r="D29" s="21">
        <v>103.84650000000002</v>
      </c>
      <c r="E29" s="270"/>
      <c r="F29" s="655" t="s">
        <v>61</v>
      </c>
      <c r="G29" s="656"/>
      <c r="H29" s="22">
        <v>-0.125</v>
      </c>
      <c r="I29" s="22">
        <v>-0.25</v>
      </c>
      <c r="J29" s="22">
        <v>-0.25</v>
      </c>
      <c r="K29" s="22">
        <v>-0.25</v>
      </c>
      <c r="L29" s="22">
        <v>-0.25</v>
      </c>
      <c r="M29" s="22">
        <v>-0.25</v>
      </c>
      <c r="N29" s="22">
        <v>-0.375</v>
      </c>
      <c r="O29" s="22">
        <v>-0.375</v>
      </c>
      <c r="P29" s="23">
        <v>-0.5</v>
      </c>
      <c r="Q29" s="270"/>
      <c r="R29" s="270"/>
      <c r="S29" s="816" t="s">
        <v>62</v>
      </c>
      <c r="T29" s="817"/>
      <c r="U29" s="17" t="s">
        <v>31</v>
      </c>
      <c r="V29" s="252">
        <v>0</v>
      </c>
      <c r="W29" s="270"/>
      <c r="X29" s="25"/>
    </row>
    <row r="30" spans="1:25" x14ac:dyDescent="0.25">
      <c r="A30" s="271"/>
      <c r="B30" s="243">
        <v>8.25</v>
      </c>
      <c r="C30" s="21">
        <v>104.39650000000002</v>
      </c>
      <c r="D30" s="21">
        <v>104.09650000000002</v>
      </c>
      <c r="E30" s="270"/>
      <c r="F30" s="655" t="s">
        <v>63</v>
      </c>
      <c r="G30" s="656"/>
      <c r="H30" s="22">
        <v>-0.75</v>
      </c>
      <c r="I30" s="22">
        <v>-0.75</v>
      </c>
      <c r="J30" s="22">
        <v>-0.75</v>
      </c>
      <c r="K30" s="22">
        <v>-0.75</v>
      </c>
      <c r="L30" s="22">
        <v>-1</v>
      </c>
      <c r="M30" s="22">
        <v>-1.5</v>
      </c>
      <c r="N30" s="22">
        <v>-2</v>
      </c>
      <c r="O30" s="22" t="e">
        <v>#N/A</v>
      </c>
      <c r="P30" s="23" t="e">
        <v>#N/A</v>
      </c>
      <c r="Q30" s="270"/>
      <c r="R30" s="270"/>
      <c r="S30" s="816" t="s">
        <v>64</v>
      </c>
      <c r="T30" s="817"/>
      <c r="U30" s="26" t="s">
        <v>65</v>
      </c>
      <c r="V30" s="252" t="e">
        <f>'Feed(WS)'!$R$168</f>
        <v>#N/A</v>
      </c>
      <c r="W30" s="270"/>
    </row>
    <row r="31" spans="1:25" ht="15.75" thickBot="1" x14ac:dyDescent="0.3">
      <c r="A31" s="271"/>
      <c r="B31" s="243">
        <v>8.375</v>
      </c>
      <c r="C31" s="21">
        <v>104.64650000000002</v>
      </c>
      <c r="D31" s="21">
        <v>104.34650000000002</v>
      </c>
      <c r="E31" s="270"/>
      <c r="F31" s="655" t="s">
        <v>737</v>
      </c>
      <c r="G31" s="656"/>
      <c r="H31" s="22">
        <v>0.25</v>
      </c>
      <c r="I31" s="22">
        <v>0.25</v>
      </c>
      <c r="J31" s="22">
        <v>0.25</v>
      </c>
      <c r="K31" s="22">
        <v>0.25</v>
      </c>
      <c r="L31" s="22">
        <v>0.25</v>
      </c>
      <c r="M31" s="22">
        <v>0.25</v>
      </c>
      <c r="N31" s="22">
        <v>0.25</v>
      </c>
      <c r="O31" s="22">
        <v>0.25</v>
      </c>
      <c r="P31" s="23">
        <v>0.25</v>
      </c>
      <c r="Q31" s="270"/>
      <c r="R31" s="270"/>
      <c r="S31" s="816" t="s">
        <v>66</v>
      </c>
      <c r="T31" s="817"/>
      <c r="U31" s="26" t="s">
        <v>67</v>
      </c>
      <c r="V31" s="252" cm="1">
        <f t="array" ref="V31">IF(OR(
      AND(OR($U$31='Feed(WS)'!$R$4:$R$5), $U$22&lt;&gt;'Feed(WS)'!$J$3),
      AND(OR($U$31='Feed(WS)'!$R$4:$R$5), $U$25&lt;&gt;'Feed(WS)'!$M$4),
      AND(OR($U$31='Feed(WS)'!$R$4:$R$5), $U$23&lt;&gt;'Feed(WS)'!$L$3:$L$4),
   ),
   NA(),
   0)</f>
        <v>0</v>
      </c>
      <c r="W31" s="270"/>
    </row>
    <row r="32" spans="1:25" x14ac:dyDescent="0.25">
      <c r="A32" s="271"/>
      <c r="B32" s="243">
        <v>8.4990000000000006</v>
      </c>
      <c r="C32" s="21">
        <v>104.89650000000002</v>
      </c>
      <c r="D32" s="21">
        <v>104.59650000000002</v>
      </c>
      <c r="E32" s="270"/>
      <c r="F32" s="818" t="s">
        <v>47</v>
      </c>
      <c r="G32" s="819"/>
      <c r="H32" s="819"/>
      <c r="I32" s="819"/>
      <c r="J32" s="819"/>
      <c r="K32" s="819"/>
      <c r="L32" s="819"/>
      <c r="M32" s="819"/>
      <c r="N32" s="819"/>
      <c r="O32" s="819"/>
      <c r="P32" s="820"/>
      <c r="Q32" s="270"/>
      <c r="R32" s="270"/>
      <c r="S32" s="816" t="s">
        <v>69</v>
      </c>
      <c r="T32" s="817"/>
      <c r="U32" s="26" t="s">
        <v>67</v>
      </c>
      <c r="V32" s="252">
        <f>IF($U$11="","",
   IF($U$32="","",
      IF(OR($U$32="No",$U$32="Choose a Selection"),0,
         INDEX($H$70:$P$76,
              MATCH(IF($U$32="Yes",$S$32,$U$32),$F$70:$F$76,0),
              MATCH($U$11,$H$10:$P$10,0)))))</f>
        <v>0</v>
      </c>
      <c r="W32" s="270"/>
    </row>
    <row r="33" spans="1:25" ht="15.75" customHeight="1" x14ac:dyDescent="0.25">
      <c r="A33" s="271"/>
      <c r="B33" s="243">
        <v>8.625</v>
      </c>
      <c r="C33" s="21">
        <v>105.14650000000002</v>
      </c>
      <c r="D33" s="21">
        <v>104.84650000000002</v>
      </c>
      <c r="E33" s="270"/>
      <c r="F33" s="651" t="s">
        <v>68</v>
      </c>
      <c r="G33" s="652"/>
      <c r="H33" s="22">
        <v>0</v>
      </c>
      <c r="I33" s="22">
        <v>0</v>
      </c>
      <c r="J33" s="22">
        <v>0</v>
      </c>
      <c r="K33" s="22">
        <v>0</v>
      </c>
      <c r="L33" s="22">
        <v>0</v>
      </c>
      <c r="M33" s="22">
        <v>0</v>
      </c>
      <c r="N33" s="22">
        <v>0</v>
      </c>
      <c r="O33" s="22">
        <v>0</v>
      </c>
      <c r="P33" s="23">
        <v>0</v>
      </c>
      <c r="Q33" s="270"/>
      <c r="R33" s="270"/>
      <c r="S33" s="816" t="s">
        <v>71</v>
      </c>
      <c r="T33" s="817"/>
      <c r="U33" s="27" t="str">
        <f>IF(ISNA(V33),"Yes",IF(V33=0,"No",""))</f>
        <v>No</v>
      </c>
      <c r="V33" s="252">
        <f>'Feed(WS)'!$B$67</f>
        <v>0</v>
      </c>
      <c r="W33" s="270"/>
    </row>
    <row r="34" spans="1:25" x14ac:dyDescent="0.25">
      <c r="A34" s="271"/>
      <c r="B34" s="243">
        <v>8.75</v>
      </c>
      <c r="C34" s="21">
        <v>105.33450000000002</v>
      </c>
      <c r="D34" s="21">
        <v>105.03450000000002</v>
      </c>
      <c r="E34" s="270"/>
      <c r="F34" s="651" t="s">
        <v>70</v>
      </c>
      <c r="G34" s="652"/>
      <c r="H34" s="22">
        <v>0</v>
      </c>
      <c r="I34" s="22">
        <v>0</v>
      </c>
      <c r="J34" s="22">
        <v>0</v>
      </c>
      <c r="K34" s="22">
        <v>0</v>
      </c>
      <c r="L34" s="22">
        <v>0</v>
      </c>
      <c r="M34" s="22">
        <v>0</v>
      </c>
      <c r="N34" s="22">
        <v>-0.125</v>
      </c>
      <c r="O34" s="22">
        <v>-0.125</v>
      </c>
      <c r="P34" s="23" t="e">
        <v>#N/A</v>
      </c>
      <c r="Q34" s="270"/>
      <c r="R34" s="270"/>
      <c r="S34" s="816" t="s">
        <v>769</v>
      </c>
      <c r="T34" s="817"/>
      <c r="U34" s="26" t="s">
        <v>31</v>
      </c>
      <c r="V34" s="252" t="str">
        <f>IF(U34="Tier 1 States",V78,IF(U34="Tier 2 States",V80,IF(U34="Tier 3 States",V82,"0.000")))</f>
        <v>0.000</v>
      </c>
      <c r="W34" s="270"/>
    </row>
    <row r="35" spans="1:25" ht="15.75" customHeight="1" x14ac:dyDescent="0.25">
      <c r="A35" s="271"/>
      <c r="B35" s="243">
        <v>8.875</v>
      </c>
      <c r="C35" s="21">
        <v>105.52150000000002</v>
      </c>
      <c r="D35" s="21">
        <v>105.22150000000002</v>
      </c>
      <c r="E35" s="270"/>
      <c r="F35" s="651" t="s">
        <v>72</v>
      </c>
      <c r="G35" s="652"/>
      <c r="H35" s="22">
        <v>0</v>
      </c>
      <c r="I35" s="22">
        <v>-0.125</v>
      </c>
      <c r="J35" s="22">
        <v>-0.125</v>
      </c>
      <c r="K35" s="22">
        <v>-0.25</v>
      </c>
      <c r="L35" s="22">
        <v>-0.25</v>
      </c>
      <c r="M35" s="22">
        <v>-0.25</v>
      </c>
      <c r="N35" s="22">
        <v>-0.5</v>
      </c>
      <c r="O35" s="22" t="e">
        <v>#N/A</v>
      </c>
      <c r="P35" s="23" t="e">
        <v>#N/A</v>
      </c>
      <c r="Q35" s="270"/>
      <c r="R35" s="270"/>
      <c r="S35" s="816" t="str">
        <f>IF('Feed(WS)'!Z1=0,"",INDEX('Feed(WS)'!$AA$1:$AA$3,MATCH('Feed(WS)'!Z1,'Feed(WS)'!$Z$1:$Z$3,0)))</f>
        <v xml:space="preserve">Special </v>
      </c>
      <c r="T35" s="817"/>
      <c r="U35" s="27" t="str">
        <f>IF(V35=FALSE,"Not Applicable",'Feed(WS)'!Y5)</f>
        <v>Not Applicable</v>
      </c>
      <c r="V35" s="252" t="b">
        <f>'Feed(WS)'!$Z$1</f>
        <v>0</v>
      </c>
      <c r="W35" s="270"/>
    </row>
    <row r="36" spans="1:25" x14ac:dyDescent="0.25">
      <c r="A36" s="271"/>
      <c r="B36" s="243">
        <v>8.9990000000000006</v>
      </c>
      <c r="C36" s="21">
        <v>105.70950000000002</v>
      </c>
      <c r="D36" s="21">
        <v>105.40950000000002</v>
      </c>
      <c r="E36" s="270"/>
      <c r="F36" s="651" t="s">
        <v>75</v>
      </c>
      <c r="G36" s="652"/>
      <c r="H36" s="22">
        <v>-0.25</v>
      </c>
      <c r="I36" s="22">
        <v>-0.25</v>
      </c>
      <c r="J36" s="22">
        <v>-0.25</v>
      </c>
      <c r="K36" s="22">
        <v>-0.25</v>
      </c>
      <c r="L36" s="22">
        <v>-0.25</v>
      </c>
      <c r="M36" s="22">
        <v>-0.5</v>
      </c>
      <c r="N36" s="22">
        <v>-0.5</v>
      </c>
      <c r="O36" s="22" t="e">
        <v>#N/A</v>
      </c>
      <c r="P36" s="23" t="e">
        <v>#N/A</v>
      </c>
      <c r="Q36" s="270"/>
      <c r="R36" s="270"/>
      <c r="S36" s="839" t="s">
        <v>77</v>
      </c>
      <c r="T36" s="840"/>
      <c r="U36" s="841"/>
      <c r="V36" s="454" t="e">
        <f>SUM($V$12:$V$35)</f>
        <v>#N/A</v>
      </c>
      <c r="W36" s="270"/>
    </row>
    <row r="37" spans="1:25" ht="15.75" customHeight="1" thickBot="1" x14ac:dyDescent="0.3">
      <c r="A37" s="271"/>
      <c r="B37" s="243">
        <v>9.125</v>
      </c>
      <c r="C37" s="21">
        <v>105.89650000000002</v>
      </c>
      <c r="D37" s="21">
        <v>105.59650000000002</v>
      </c>
      <c r="E37" s="270"/>
      <c r="F37" s="651" t="s">
        <v>76</v>
      </c>
      <c r="G37" s="652"/>
      <c r="H37" s="22">
        <v>-0.5</v>
      </c>
      <c r="I37" s="22">
        <v>-0.5</v>
      </c>
      <c r="J37" s="22">
        <v>-0.625</v>
      </c>
      <c r="K37" s="22">
        <v>-0.625</v>
      </c>
      <c r="L37" s="22">
        <v>-0.75</v>
      </c>
      <c r="M37" s="22">
        <v>-1</v>
      </c>
      <c r="N37" s="22" t="e">
        <v>#N/A</v>
      </c>
      <c r="O37" s="22" t="e">
        <v>#N/A</v>
      </c>
      <c r="P37" s="23" t="e">
        <v>#N/A</v>
      </c>
      <c r="Q37" s="279"/>
      <c r="R37" s="270"/>
      <c r="S37" s="839" t="s">
        <v>79</v>
      </c>
      <c r="T37" s="840"/>
      <c r="U37" s="841"/>
      <c r="V37" s="454" t="str">
        <f>IFERROR(INDEX(C10:D50, MATCH(U10, B10:B50, 0), MATCH(U17, C10:D10, 0)), "#N/A")</f>
        <v>#N/A</v>
      </c>
      <c r="W37" s="270"/>
      <c r="Y37" s="25"/>
    </row>
    <row r="38" spans="1:25" ht="15.75" customHeight="1" x14ac:dyDescent="0.25">
      <c r="A38" s="271"/>
      <c r="B38" s="243">
        <v>9.25</v>
      </c>
      <c r="C38" s="21">
        <v>106.08450000000002</v>
      </c>
      <c r="D38" s="21">
        <v>105.78450000000002</v>
      </c>
      <c r="E38" s="270"/>
      <c r="F38" s="818" t="s">
        <v>78</v>
      </c>
      <c r="G38" s="819"/>
      <c r="H38" s="819"/>
      <c r="I38" s="819"/>
      <c r="J38" s="819"/>
      <c r="K38" s="819"/>
      <c r="L38" s="819"/>
      <c r="M38" s="819"/>
      <c r="N38" s="819"/>
      <c r="O38" s="819"/>
      <c r="P38" s="820"/>
      <c r="Q38" s="270"/>
      <c r="R38" s="270"/>
      <c r="S38" s="839" t="s">
        <v>81</v>
      </c>
      <c r="T38" s="840"/>
      <c r="U38" s="841"/>
      <c r="V38" s="454" t="str">
        <f>IFERROR(IF(AND(OR(U19='Feed(WS)'!P6),U10&lt;T69),"Minimum Rate",IF(AND($U$10&lt;&gt;'Feed(WS)'!$K$134,V39=T66),NA(),V37+V36+S84)),"Minimum Rate")</f>
        <v>Minimum Rate</v>
      </c>
      <c r="W38" s="270"/>
    </row>
    <row r="39" spans="1:25" x14ac:dyDescent="0.25">
      <c r="A39" s="271"/>
      <c r="B39" s="243">
        <v>9.375</v>
      </c>
      <c r="C39" s="21">
        <v>106.27150000000002</v>
      </c>
      <c r="D39" s="21">
        <v>105.97150000000002</v>
      </c>
      <c r="E39" s="270"/>
      <c r="F39" s="651" t="s">
        <v>80</v>
      </c>
      <c r="G39" s="652"/>
      <c r="H39" s="22">
        <v>-0.5</v>
      </c>
      <c r="I39" s="22">
        <v>-0.75</v>
      </c>
      <c r="J39" s="22">
        <v>-0.75</v>
      </c>
      <c r="K39" s="22">
        <v>-0.75</v>
      </c>
      <c r="L39" s="22">
        <v>-0.75</v>
      </c>
      <c r="M39" s="22">
        <v>-0.875</v>
      </c>
      <c r="N39" s="22">
        <v>-1</v>
      </c>
      <c r="O39" s="22">
        <v>-1.25</v>
      </c>
      <c r="P39" s="23">
        <v>-1.25</v>
      </c>
      <c r="Q39" s="270"/>
      <c r="R39" s="270"/>
      <c r="S39" s="839" t="s">
        <v>83</v>
      </c>
      <c r="T39" s="840"/>
      <c r="U39" s="841"/>
      <c r="V39" s="454" t="e">
        <f>IF(OR('Feed(WS)'!$E$147=0, ISERROR('Feed(WS)'!$E$147)), NA(), 'Feed(WS)'!$E$147)</f>
        <v>#N/A</v>
      </c>
      <c r="W39" s="270"/>
    </row>
    <row r="40" spans="1:25" ht="14.25" customHeight="1" x14ac:dyDescent="0.25">
      <c r="A40" s="271"/>
      <c r="B40" s="243">
        <v>9.4990000000000006</v>
      </c>
      <c r="C40" s="21">
        <v>106.45950000000002</v>
      </c>
      <c r="D40" s="21">
        <v>106.15950000000002</v>
      </c>
      <c r="E40" s="270"/>
      <c r="F40" s="651" t="s">
        <v>82</v>
      </c>
      <c r="G40" s="652"/>
      <c r="H40" s="22">
        <v>0</v>
      </c>
      <c r="I40" s="22">
        <v>0</v>
      </c>
      <c r="J40" s="22">
        <v>-0.125</v>
      </c>
      <c r="K40" s="22">
        <v>-0.125</v>
      </c>
      <c r="L40" s="22">
        <v>-0.125</v>
      </c>
      <c r="M40" s="22">
        <v>-0.125</v>
      </c>
      <c r="N40" s="22">
        <v>-0.25</v>
      </c>
      <c r="O40" s="22">
        <v>-0.25</v>
      </c>
      <c r="P40" s="23">
        <v>-0.25</v>
      </c>
      <c r="Q40" s="270"/>
      <c r="R40" s="270"/>
      <c r="S40" s="774" t="s">
        <v>85</v>
      </c>
      <c r="T40" s="775"/>
      <c r="U40" s="776"/>
      <c r="V40" s="203" t="e">
        <f>IF(OR($V$36="#NA",$V$37="#NA"),NA(),IF(AND($U$10&lt;&gt;'Feed(WS)'!$K$134,$V$39=$T$66),NA(),IF($V$38&gt;$V$39,$V$39,$V$38)))</f>
        <v>#N/A</v>
      </c>
      <c r="W40" s="270"/>
    </row>
    <row r="41" spans="1:25" ht="14.25" customHeight="1" x14ac:dyDescent="0.25">
      <c r="A41" s="271"/>
      <c r="B41" s="243">
        <v>9.625</v>
      </c>
      <c r="C41" s="21">
        <v>106.64650000000002</v>
      </c>
      <c r="D41" s="21">
        <v>106.34650000000002</v>
      </c>
      <c r="E41" s="270"/>
      <c r="F41" s="651" t="s">
        <v>776</v>
      </c>
      <c r="G41" s="652"/>
      <c r="H41" s="22">
        <v>0.125</v>
      </c>
      <c r="I41" s="22">
        <v>0.125</v>
      </c>
      <c r="J41" s="22">
        <v>0.125</v>
      </c>
      <c r="K41" s="22">
        <v>0.125</v>
      </c>
      <c r="L41" s="22">
        <v>0.125</v>
      </c>
      <c r="M41" s="22">
        <v>0.125</v>
      </c>
      <c r="N41" s="22">
        <v>0.125</v>
      </c>
      <c r="O41" s="22">
        <v>0</v>
      </c>
      <c r="P41" s="23">
        <v>0</v>
      </c>
      <c r="Q41" s="270"/>
      <c r="R41" s="270"/>
      <c r="S41" s="800" t="str" cm="1">
        <f t="array" ref="S41">IF(OR($U$11:$U$25="Choose a Selection"),"",CONCATENATE('Feed(WS)'!$I$134," ",'Feed(WS)'!$K$134,"%"&amp;" @ "&amp;'Feed(WS)'!$L$134))</f>
        <v/>
      </c>
      <c r="T41" s="801"/>
      <c r="U41" s="801"/>
      <c r="V41" s="802"/>
      <c r="W41" s="270"/>
    </row>
    <row r="42" spans="1:25" ht="15.75" customHeight="1" x14ac:dyDescent="0.25">
      <c r="A42" s="271"/>
      <c r="B42" s="243">
        <v>9.75</v>
      </c>
      <c r="C42" s="21">
        <v>106.83450000000002</v>
      </c>
      <c r="D42" s="21">
        <v>106.53450000000002</v>
      </c>
      <c r="E42" s="270"/>
      <c r="F42" s="651" t="s">
        <v>777</v>
      </c>
      <c r="G42" s="652"/>
      <c r="H42" s="22">
        <v>0.375</v>
      </c>
      <c r="I42" s="22">
        <v>0.375</v>
      </c>
      <c r="J42" s="22">
        <v>0.375</v>
      </c>
      <c r="K42" s="22">
        <v>0.375</v>
      </c>
      <c r="L42" s="22">
        <v>0.375</v>
      </c>
      <c r="M42" s="22">
        <v>0.25</v>
      </c>
      <c r="N42" s="22">
        <v>0.25</v>
      </c>
      <c r="O42" s="22">
        <v>0.25</v>
      </c>
      <c r="P42" s="23">
        <v>0.25</v>
      </c>
      <c r="Q42" s="270"/>
      <c r="R42" s="270"/>
      <c r="S42" s="842" t="s">
        <v>759</v>
      </c>
      <c r="T42" s="843"/>
      <c r="U42" s="843"/>
      <c r="V42" s="843"/>
      <c r="W42" s="270"/>
    </row>
    <row r="43" spans="1:25" ht="14.25" customHeight="1" x14ac:dyDescent="0.25">
      <c r="A43" s="271"/>
      <c r="B43" s="243">
        <v>9.875</v>
      </c>
      <c r="C43" s="21">
        <v>106.95950000000002</v>
      </c>
      <c r="D43" s="21">
        <v>106.65950000000002</v>
      </c>
      <c r="E43" s="270"/>
      <c r="F43" s="653" t="s">
        <v>86</v>
      </c>
      <c r="G43" s="654"/>
      <c r="H43" s="22">
        <v>0.625</v>
      </c>
      <c r="I43" s="22">
        <v>0.375</v>
      </c>
      <c r="J43" s="22">
        <v>0.375</v>
      </c>
      <c r="K43" s="22">
        <v>0.25</v>
      </c>
      <c r="L43" s="22">
        <v>0.25</v>
      </c>
      <c r="M43" s="22">
        <v>0.25</v>
      </c>
      <c r="N43" s="22">
        <v>0.25</v>
      </c>
      <c r="O43" s="22">
        <v>0</v>
      </c>
      <c r="P43" s="23">
        <v>0</v>
      </c>
      <c r="Q43" s="280"/>
      <c r="R43" s="270"/>
      <c r="S43" s="844" t="s">
        <v>760</v>
      </c>
      <c r="T43" s="845"/>
      <c r="U43" s="846">
        <v>500000</v>
      </c>
      <c r="V43" s="847"/>
      <c r="W43" s="270"/>
    </row>
    <row r="44" spans="1:25" ht="15.75" customHeight="1" x14ac:dyDescent="0.25">
      <c r="A44" s="271"/>
      <c r="B44" s="243">
        <v>9.9990000000000006</v>
      </c>
      <c r="C44" s="21">
        <v>107.08450000000002</v>
      </c>
      <c r="D44" s="21">
        <v>106.78450000000002</v>
      </c>
      <c r="E44" s="270"/>
      <c r="F44" s="653" t="s">
        <v>87</v>
      </c>
      <c r="G44" s="654"/>
      <c r="H44" s="22">
        <v>0.25</v>
      </c>
      <c r="I44" s="22">
        <v>0.25</v>
      </c>
      <c r="J44" s="22">
        <v>0.125</v>
      </c>
      <c r="K44" s="22">
        <v>0.125</v>
      </c>
      <c r="L44" s="22">
        <v>0.125</v>
      </c>
      <c r="M44" s="22">
        <v>0.125</v>
      </c>
      <c r="N44" s="22">
        <v>0.125</v>
      </c>
      <c r="O44" s="22">
        <v>0</v>
      </c>
      <c r="P44" s="23">
        <v>0</v>
      </c>
      <c r="Q44" s="270"/>
      <c r="R44" s="270"/>
      <c r="S44" s="844" t="s">
        <v>761</v>
      </c>
      <c r="T44" s="845"/>
      <c r="U44" s="471">
        <v>2.25</v>
      </c>
      <c r="V44" s="472">
        <f>U44/100*U43</f>
        <v>11250</v>
      </c>
      <c r="W44" s="270"/>
    </row>
    <row r="45" spans="1:25" ht="14.25" customHeight="1" x14ac:dyDescent="0.25">
      <c r="A45" s="271"/>
      <c r="B45" s="243">
        <v>10.125</v>
      </c>
      <c r="C45" s="21">
        <v>107.20950000000002</v>
      </c>
      <c r="D45" s="21">
        <v>106.90950000000002</v>
      </c>
      <c r="E45" s="270"/>
      <c r="F45" s="653" t="s">
        <v>89</v>
      </c>
      <c r="G45" s="654"/>
      <c r="H45" s="22">
        <v>-0.25</v>
      </c>
      <c r="I45" s="22">
        <v>-0.25</v>
      </c>
      <c r="J45" s="22">
        <v>-0.25</v>
      </c>
      <c r="K45" s="22">
        <v>-0.25</v>
      </c>
      <c r="L45" s="22">
        <v>-0.25</v>
      </c>
      <c r="M45" s="22">
        <v>-0.25</v>
      </c>
      <c r="N45" s="22">
        <v>-0.375</v>
      </c>
      <c r="O45" s="22">
        <v>-0.5</v>
      </c>
      <c r="P45" s="23" t="e">
        <v>#N/A</v>
      </c>
      <c r="Q45" s="270"/>
      <c r="R45" s="270"/>
      <c r="S45" s="844" t="s">
        <v>762</v>
      </c>
      <c r="T45" s="845"/>
      <c r="U45" s="473"/>
      <c r="V45" s="474">
        <f>U45/U43*100</f>
        <v>0</v>
      </c>
      <c r="W45" s="270"/>
    </row>
    <row r="46" spans="1:25" ht="14.25" customHeight="1" x14ac:dyDescent="0.25">
      <c r="A46" s="271"/>
      <c r="B46" s="243">
        <v>10.25</v>
      </c>
      <c r="C46" s="21">
        <v>107.33450000000002</v>
      </c>
      <c r="D46" s="21">
        <v>107.03450000000002</v>
      </c>
      <c r="E46" s="270"/>
      <c r="F46" s="653" t="s">
        <v>90</v>
      </c>
      <c r="G46" s="654"/>
      <c r="H46" s="22">
        <v>-0.5</v>
      </c>
      <c r="I46" s="22">
        <v>-0.5</v>
      </c>
      <c r="J46" s="22">
        <v>-0.5</v>
      </c>
      <c r="K46" s="22">
        <v>-0.5</v>
      </c>
      <c r="L46" s="22">
        <v>-0.5</v>
      </c>
      <c r="M46" s="22">
        <v>-0.5</v>
      </c>
      <c r="N46" s="22">
        <v>-0.5</v>
      </c>
      <c r="O46" s="22" t="e">
        <v>#N/A</v>
      </c>
      <c r="P46" s="23" t="e">
        <v>#N/A</v>
      </c>
      <c r="Q46" s="270"/>
      <c r="R46" s="270"/>
      <c r="S46" s="848" t="s">
        <v>763</v>
      </c>
      <c r="T46" s="849"/>
      <c r="U46" s="850">
        <f>U44+V45</f>
        <v>2.25</v>
      </c>
      <c r="V46" s="851"/>
      <c r="W46" s="270"/>
    </row>
    <row r="47" spans="1:25" ht="14.25" customHeight="1" thickBot="1" x14ac:dyDescent="0.3">
      <c r="A47" s="271"/>
      <c r="B47" s="243">
        <v>10.375</v>
      </c>
      <c r="C47" s="21">
        <v>107.45950000000002</v>
      </c>
      <c r="D47" s="21">
        <v>107.15950000000002</v>
      </c>
      <c r="E47" s="270"/>
      <c r="F47" s="653" t="s">
        <v>91</v>
      </c>
      <c r="G47" s="654"/>
      <c r="H47" s="22">
        <v>-1</v>
      </c>
      <c r="I47" s="22">
        <v>-1</v>
      </c>
      <c r="J47" s="22">
        <v>-1</v>
      </c>
      <c r="K47" s="22">
        <v>-1</v>
      </c>
      <c r="L47" s="22">
        <v>-1</v>
      </c>
      <c r="M47" s="22">
        <v>-1</v>
      </c>
      <c r="N47" s="22">
        <v>-1</v>
      </c>
      <c r="O47" s="22" t="e">
        <v>#N/A</v>
      </c>
      <c r="P47" s="23" t="e">
        <v>#N/A</v>
      </c>
      <c r="Q47" s="270"/>
      <c r="R47" s="270"/>
      <c r="S47" s="877" t="s">
        <v>764</v>
      </c>
      <c r="T47" s="878"/>
      <c r="U47" s="879" t="e">
        <f>V40-U46</f>
        <v>#N/A</v>
      </c>
      <c r="V47" s="880"/>
      <c r="W47" s="270"/>
    </row>
    <row r="48" spans="1:25" ht="15.75" customHeight="1" x14ac:dyDescent="0.25">
      <c r="A48" s="271"/>
      <c r="B48" s="243">
        <v>10.499000000000001</v>
      </c>
      <c r="C48" s="21">
        <v>107.58450000000002</v>
      </c>
      <c r="D48" s="21">
        <v>107.28450000000002</v>
      </c>
      <c r="E48" s="270"/>
      <c r="F48" s="653" t="s">
        <v>92</v>
      </c>
      <c r="G48" s="654"/>
      <c r="H48" s="22">
        <v>-2</v>
      </c>
      <c r="I48" s="22">
        <v>-2</v>
      </c>
      <c r="J48" s="22">
        <v>-2</v>
      </c>
      <c r="K48" s="22">
        <v>-2</v>
      </c>
      <c r="L48" s="22">
        <v>-2</v>
      </c>
      <c r="M48" s="22" t="e">
        <v>#N/A</v>
      </c>
      <c r="N48" s="22" t="e">
        <v>#N/A</v>
      </c>
      <c r="O48" s="22" t="e">
        <v>#N/A</v>
      </c>
      <c r="P48" s="23" t="e">
        <v>#N/A</v>
      </c>
      <c r="Q48" s="270"/>
      <c r="R48" s="270"/>
      <c r="S48" s="874" t="s">
        <v>775</v>
      </c>
      <c r="T48" s="875"/>
      <c r="U48" s="875"/>
      <c r="V48" s="876"/>
      <c r="W48" s="270"/>
    </row>
    <row r="49" spans="1:23" ht="15.75" customHeight="1" thickBot="1" x14ac:dyDescent="0.3">
      <c r="A49" s="271"/>
      <c r="B49" s="243">
        <v>10.625</v>
      </c>
      <c r="C49" s="21">
        <v>107.70950000000002</v>
      </c>
      <c r="D49" s="21">
        <v>107.40950000000002</v>
      </c>
      <c r="E49" s="270"/>
      <c r="F49" s="881" t="s">
        <v>93</v>
      </c>
      <c r="G49" s="882"/>
      <c r="H49" s="22">
        <v>-3</v>
      </c>
      <c r="I49" s="22">
        <v>-3</v>
      </c>
      <c r="J49" s="22">
        <v>-3</v>
      </c>
      <c r="K49" s="22">
        <v>-3</v>
      </c>
      <c r="L49" s="22" t="e">
        <v>#N/A</v>
      </c>
      <c r="M49" s="22" t="e">
        <v>#N/A</v>
      </c>
      <c r="N49" s="22" t="e">
        <v>#N/A</v>
      </c>
      <c r="O49" s="22" t="e">
        <v>#N/A</v>
      </c>
      <c r="P49" s="23" t="e">
        <v>#N/A</v>
      </c>
      <c r="Q49" s="270"/>
      <c r="R49" s="270"/>
      <c r="S49" s="868"/>
      <c r="T49" s="869"/>
      <c r="U49" s="869"/>
      <c r="V49" s="870"/>
      <c r="W49" s="270"/>
    </row>
    <row r="50" spans="1:23" x14ac:dyDescent="0.25">
      <c r="A50" s="271"/>
      <c r="B50" s="243">
        <v>10.75</v>
      </c>
      <c r="C50" s="21">
        <v>107.83450000000002</v>
      </c>
      <c r="D50" s="21">
        <v>107.53450000000002</v>
      </c>
      <c r="E50" s="270"/>
      <c r="F50" s="818" t="s">
        <v>95</v>
      </c>
      <c r="G50" s="819"/>
      <c r="H50" s="819"/>
      <c r="I50" s="819"/>
      <c r="J50" s="819"/>
      <c r="K50" s="819"/>
      <c r="L50" s="819"/>
      <c r="M50" s="819"/>
      <c r="N50" s="819"/>
      <c r="O50" s="819"/>
      <c r="P50" s="820"/>
      <c r="Q50" s="270"/>
      <c r="R50" s="270"/>
      <c r="S50" s="868"/>
      <c r="T50" s="869"/>
      <c r="U50" s="869"/>
      <c r="V50" s="870"/>
      <c r="W50" s="283"/>
    </row>
    <row r="51" spans="1:23" ht="13.5" customHeight="1" x14ac:dyDescent="0.25">
      <c r="A51" s="270"/>
      <c r="B51" s="856"/>
      <c r="C51" s="857"/>
      <c r="D51" s="857"/>
      <c r="E51" s="272"/>
      <c r="F51" s="651" t="s">
        <v>96</v>
      </c>
      <c r="G51" s="652"/>
      <c r="H51" s="22">
        <v>0</v>
      </c>
      <c r="I51" s="22">
        <v>0</v>
      </c>
      <c r="J51" s="22">
        <v>-0.125</v>
      </c>
      <c r="K51" s="22">
        <v>-0.375</v>
      </c>
      <c r="L51" s="22">
        <v>-0.375</v>
      </c>
      <c r="M51" s="22">
        <v>-0.375</v>
      </c>
      <c r="N51" s="22">
        <v>-0.375</v>
      </c>
      <c r="O51" s="22">
        <v>-0.5</v>
      </c>
      <c r="P51" s="23" t="e">
        <v>#N/A</v>
      </c>
      <c r="Q51" s="270"/>
      <c r="R51" s="272"/>
      <c r="S51" s="868" t="s">
        <v>94</v>
      </c>
      <c r="T51" s="869"/>
      <c r="U51" s="869"/>
      <c r="V51" s="870"/>
      <c r="W51" s="284"/>
    </row>
    <row r="52" spans="1:23" ht="15.75" thickBot="1" x14ac:dyDescent="0.3">
      <c r="A52" s="270"/>
      <c r="B52" s="858"/>
      <c r="C52" s="859"/>
      <c r="D52" s="859"/>
      <c r="E52" s="270"/>
      <c r="F52" s="651" t="s">
        <v>97</v>
      </c>
      <c r="G52" s="652"/>
      <c r="H52" s="22">
        <v>-0.25</v>
      </c>
      <c r="I52" s="22">
        <v>-0.25</v>
      </c>
      <c r="J52" s="22">
        <v>-0.25</v>
      </c>
      <c r="K52" s="22">
        <v>-0.5</v>
      </c>
      <c r="L52" s="22">
        <v>-0.5</v>
      </c>
      <c r="M52" s="22">
        <v>-0.5</v>
      </c>
      <c r="N52" s="22">
        <v>-0.5</v>
      </c>
      <c r="O52" s="22">
        <v>-0.5</v>
      </c>
      <c r="P52" s="23" t="e">
        <v>#N/A</v>
      </c>
      <c r="Q52" s="270"/>
      <c r="R52" s="270"/>
      <c r="S52" s="871"/>
      <c r="T52" s="872"/>
      <c r="U52" s="872"/>
      <c r="V52" s="873"/>
      <c r="W52" s="284"/>
    </row>
    <row r="53" spans="1:23" x14ac:dyDescent="0.25">
      <c r="A53" s="270"/>
      <c r="B53" s="865"/>
      <c r="C53" s="866"/>
      <c r="D53" s="866"/>
      <c r="E53" s="270"/>
      <c r="F53" s="651" t="s">
        <v>98</v>
      </c>
      <c r="G53" s="652"/>
      <c r="H53" s="22">
        <v>-1</v>
      </c>
      <c r="I53" s="22">
        <v>-1</v>
      </c>
      <c r="J53" s="22">
        <v>-1</v>
      </c>
      <c r="K53" s="22">
        <v>-1</v>
      </c>
      <c r="L53" s="22">
        <v>-1.25</v>
      </c>
      <c r="M53" s="22">
        <v>-1.5</v>
      </c>
      <c r="N53" s="22" t="e">
        <v>#N/A</v>
      </c>
      <c r="O53" s="22" t="e">
        <v>#N/A</v>
      </c>
      <c r="P53" s="23" t="e">
        <v>#N/A</v>
      </c>
      <c r="Q53" s="270"/>
      <c r="R53" s="270"/>
      <c r="S53" s="865"/>
      <c r="T53" s="866"/>
      <c r="U53" s="866"/>
      <c r="V53" s="867"/>
      <c r="W53" s="284"/>
    </row>
    <row r="54" spans="1:23" ht="15.75" customHeight="1" x14ac:dyDescent="0.25">
      <c r="A54" s="270"/>
      <c r="B54" s="865"/>
      <c r="C54" s="866"/>
      <c r="D54" s="866"/>
      <c r="E54" s="273"/>
      <c r="F54" s="651" t="s">
        <v>99</v>
      </c>
      <c r="G54" s="652"/>
      <c r="H54" s="22">
        <v>0</v>
      </c>
      <c r="I54" s="22">
        <v>0</v>
      </c>
      <c r="J54" s="22">
        <v>0</v>
      </c>
      <c r="K54" s="22">
        <v>0</v>
      </c>
      <c r="L54" s="22">
        <v>0</v>
      </c>
      <c r="M54" s="22">
        <v>0</v>
      </c>
      <c r="N54" s="22">
        <v>0</v>
      </c>
      <c r="O54" s="22">
        <v>0</v>
      </c>
      <c r="P54" s="23" t="e">
        <v>#N/A</v>
      </c>
      <c r="Q54" s="270"/>
      <c r="R54" s="270"/>
      <c r="S54" s="865"/>
      <c r="T54" s="866"/>
      <c r="U54" s="866"/>
      <c r="V54" s="867"/>
      <c r="W54" s="284"/>
    </row>
    <row r="55" spans="1:23" ht="15.75" thickBot="1" x14ac:dyDescent="0.3">
      <c r="A55" s="270"/>
      <c r="B55" s="248" t="s">
        <v>64</v>
      </c>
      <c r="C55" s="249" t="s">
        <v>101</v>
      </c>
      <c r="D55" s="249"/>
      <c r="E55" s="270"/>
      <c r="F55" s="860" t="s">
        <v>100</v>
      </c>
      <c r="G55" s="861"/>
      <c r="H55" s="22">
        <v>-0.125</v>
      </c>
      <c r="I55" s="22">
        <v>-0.125</v>
      </c>
      <c r="J55" s="22">
        <v>-0.25</v>
      </c>
      <c r="K55" s="22">
        <v>-0.25</v>
      </c>
      <c r="L55" s="22">
        <v>-0.25</v>
      </c>
      <c r="M55" s="22">
        <v>-0.5</v>
      </c>
      <c r="N55" s="22">
        <v>-0.625</v>
      </c>
      <c r="O55" s="22" t="e">
        <v>#N/A</v>
      </c>
      <c r="P55" s="23" t="e">
        <v>#N/A</v>
      </c>
      <c r="Q55" s="270"/>
      <c r="R55" s="270"/>
      <c r="S55" s="854" t="s">
        <v>103</v>
      </c>
      <c r="T55" s="855"/>
      <c r="U55" s="248" t="s">
        <v>104</v>
      </c>
      <c r="V55" s="249" t="s">
        <v>105</v>
      </c>
      <c r="W55" s="284"/>
    </row>
    <row r="56" spans="1:23" ht="15.75" thickBot="1" x14ac:dyDescent="0.3">
      <c r="A56" s="270"/>
      <c r="B56" s="29" t="s">
        <v>106</v>
      </c>
      <c r="C56" s="30">
        <v>-0.25</v>
      </c>
      <c r="D56" s="30"/>
      <c r="E56" s="274"/>
      <c r="F56" s="862" t="s">
        <v>58</v>
      </c>
      <c r="G56" s="863"/>
      <c r="H56" s="863"/>
      <c r="I56" s="863"/>
      <c r="J56" s="863"/>
      <c r="K56" s="863"/>
      <c r="L56" s="863"/>
      <c r="M56" s="863"/>
      <c r="N56" s="863"/>
      <c r="O56" s="863"/>
      <c r="P56" s="864"/>
      <c r="Q56" s="270"/>
      <c r="R56" s="270"/>
      <c r="S56" s="31" t="s">
        <v>108</v>
      </c>
      <c r="T56" s="32">
        <v>102</v>
      </c>
      <c r="U56" s="33" t="s">
        <v>109</v>
      </c>
      <c r="V56" s="34" t="s">
        <v>110</v>
      </c>
      <c r="W56" s="284"/>
    </row>
    <row r="57" spans="1:23" x14ac:dyDescent="0.25">
      <c r="A57" s="270"/>
      <c r="B57" s="29" t="s">
        <v>111</v>
      </c>
      <c r="C57" s="30">
        <v>-0.5</v>
      </c>
      <c r="D57" s="30"/>
      <c r="E57" s="270"/>
      <c r="F57" s="665" t="s">
        <v>102</v>
      </c>
      <c r="G57" s="666"/>
      <c r="H57" s="189">
        <v>-1</v>
      </c>
      <c r="I57" s="189">
        <v>-1</v>
      </c>
      <c r="J57" s="189">
        <v>-1</v>
      </c>
      <c r="K57" s="189">
        <v>-1</v>
      </c>
      <c r="L57" s="189">
        <v>-1</v>
      </c>
      <c r="M57" s="189">
        <v>-1</v>
      </c>
      <c r="N57" s="189">
        <v>-1</v>
      </c>
      <c r="O57" s="189">
        <v>-1</v>
      </c>
      <c r="P57" s="190" t="e">
        <v>#N/A</v>
      </c>
      <c r="Q57" s="275"/>
      <c r="R57" s="270"/>
      <c r="S57" s="31" t="s">
        <v>90</v>
      </c>
      <c r="T57" s="35">
        <v>101</v>
      </c>
      <c r="U57" s="33" t="s">
        <v>113</v>
      </c>
      <c r="V57" s="34" t="s">
        <v>114</v>
      </c>
      <c r="W57" s="284"/>
    </row>
    <row r="58" spans="1:23" x14ac:dyDescent="0.25">
      <c r="A58" s="270"/>
      <c r="B58" s="856" t="s">
        <v>115</v>
      </c>
      <c r="C58" s="857"/>
      <c r="D58" s="857"/>
      <c r="E58" s="270"/>
      <c r="F58" s="629" t="s">
        <v>107</v>
      </c>
      <c r="G58" s="630"/>
      <c r="H58" s="70">
        <v>-1.75</v>
      </c>
      <c r="I58" s="70">
        <v>-1.75</v>
      </c>
      <c r="J58" s="70">
        <v>-1.75</v>
      </c>
      <c r="K58" s="70">
        <v>-1.75</v>
      </c>
      <c r="L58" s="70">
        <v>-1.75</v>
      </c>
      <c r="M58" s="70">
        <v>-1.75</v>
      </c>
      <c r="N58" s="70">
        <v>-1.75</v>
      </c>
      <c r="O58" s="70">
        <v>-2</v>
      </c>
      <c r="P58" s="23" t="e">
        <v>#N/A</v>
      </c>
      <c r="Q58" s="275"/>
      <c r="R58" s="272"/>
      <c r="S58" s="31" t="s">
        <v>117</v>
      </c>
      <c r="T58" s="35">
        <v>101</v>
      </c>
      <c r="U58" s="33" t="s">
        <v>118</v>
      </c>
      <c r="V58" s="34" t="s">
        <v>119</v>
      </c>
      <c r="W58" s="284"/>
    </row>
    <row r="59" spans="1:23" ht="15" customHeight="1" x14ac:dyDescent="0.25">
      <c r="A59" s="270"/>
      <c r="B59" s="624" t="s">
        <v>120</v>
      </c>
      <c r="C59" s="625"/>
      <c r="D59" s="625"/>
      <c r="E59" s="270"/>
      <c r="F59" s="629" t="s">
        <v>112</v>
      </c>
      <c r="G59" s="630"/>
      <c r="H59" s="70">
        <v>-1</v>
      </c>
      <c r="I59" s="70">
        <v>-1</v>
      </c>
      <c r="J59" s="70">
        <v>-1</v>
      </c>
      <c r="K59" s="70">
        <v>-1</v>
      </c>
      <c r="L59" s="70">
        <v>-1</v>
      </c>
      <c r="M59" s="70">
        <v>-1</v>
      </c>
      <c r="N59" s="70">
        <v>-1</v>
      </c>
      <c r="O59" s="70">
        <v>-1</v>
      </c>
      <c r="P59" s="23" t="e">
        <v>#N/A</v>
      </c>
      <c r="Q59" s="275"/>
      <c r="R59" s="272"/>
      <c r="S59" s="31" t="s">
        <v>122</v>
      </c>
      <c r="T59" s="35">
        <v>100.5</v>
      </c>
      <c r="U59" s="33" t="s">
        <v>123</v>
      </c>
      <c r="V59" s="36" t="s">
        <v>124</v>
      </c>
      <c r="W59" s="284"/>
    </row>
    <row r="60" spans="1:23" ht="15" customHeight="1" x14ac:dyDescent="0.25">
      <c r="A60" s="270"/>
      <c r="B60" s="624"/>
      <c r="C60" s="625"/>
      <c r="D60" s="625"/>
      <c r="E60" s="270"/>
      <c r="F60" s="629" t="s">
        <v>116</v>
      </c>
      <c r="G60" s="630"/>
      <c r="H60" s="70">
        <v>-0.25</v>
      </c>
      <c r="I60" s="70">
        <v>-0.25</v>
      </c>
      <c r="J60" s="70">
        <v>-0.25</v>
      </c>
      <c r="K60" s="70">
        <v>-0.25</v>
      </c>
      <c r="L60" s="70">
        <v>-0.25</v>
      </c>
      <c r="M60" s="70">
        <v>-0.75</v>
      </c>
      <c r="N60" s="70">
        <v>-0.75</v>
      </c>
      <c r="O60" s="70">
        <v>-0.75</v>
      </c>
      <c r="P60" s="23" t="e">
        <v>#N/A</v>
      </c>
      <c r="Q60" s="270"/>
      <c r="R60" s="270"/>
      <c r="S60" s="31" t="s">
        <v>126</v>
      </c>
      <c r="T60" s="35">
        <v>100</v>
      </c>
      <c r="U60" s="33" t="s">
        <v>127</v>
      </c>
      <c r="V60" s="36" t="s">
        <v>128</v>
      </c>
      <c r="W60" s="284"/>
    </row>
    <row r="61" spans="1:23" ht="15" customHeight="1" x14ac:dyDescent="0.25">
      <c r="A61" s="270"/>
      <c r="B61" s="624"/>
      <c r="C61" s="625"/>
      <c r="D61" s="625"/>
      <c r="E61" s="270"/>
      <c r="F61" s="629" t="s">
        <v>121</v>
      </c>
      <c r="G61" s="630"/>
      <c r="H61" s="70">
        <v>0.25</v>
      </c>
      <c r="I61" s="70">
        <v>0.125</v>
      </c>
      <c r="J61" s="70">
        <v>0.125</v>
      </c>
      <c r="K61" s="70">
        <v>0.125</v>
      </c>
      <c r="L61" s="70">
        <v>0.125</v>
      </c>
      <c r="M61" s="70">
        <v>0.125</v>
      </c>
      <c r="N61" s="70">
        <v>0.125</v>
      </c>
      <c r="O61" s="70">
        <v>6.25E-2</v>
      </c>
      <c r="P61" s="23" t="e">
        <v>#N/A</v>
      </c>
      <c r="Q61" s="270"/>
      <c r="R61" s="270"/>
      <c r="S61" s="31" t="s">
        <v>130</v>
      </c>
      <c r="T61" s="35">
        <v>100</v>
      </c>
      <c r="U61" s="33" t="s">
        <v>119</v>
      </c>
      <c r="V61" s="37">
        <v>4</v>
      </c>
      <c r="W61" s="284"/>
    </row>
    <row r="62" spans="1:23" x14ac:dyDescent="0.25">
      <c r="A62" s="270"/>
      <c r="B62" s="624"/>
      <c r="C62" s="625"/>
      <c r="D62" s="625"/>
      <c r="E62" s="270"/>
      <c r="F62" s="629" t="s">
        <v>125</v>
      </c>
      <c r="G62" s="630"/>
      <c r="H62" s="70">
        <v>0.375</v>
      </c>
      <c r="I62" s="70">
        <v>0.25</v>
      </c>
      <c r="J62" s="70">
        <v>0.25</v>
      </c>
      <c r="K62" s="70">
        <v>0.25</v>
      </c>
      <c r="L62" s="70">
        <v>0.25</v>
      </c>
      <c r="M62" s="70">
        <v>0.25</v>
      </c>
      <c r="N62" s="70">
        <v>0.25</v>
      </c>
      <c r="O62" s="70">
        <v>0.125</v>
      </c>
      <c r="P62" s="23" t="e">
        <v>#N/A</v>
      </c>
      <c r="Q62" s="270"/>
      <c r="R62" s="272"/>
      <c r="S62" s="31" t="s">
        <v>132</v>
      </c>
      <c r="T62" s="35">
        <v>101.5</v>
      </c>
      <c r="U62" s="250" t="s">
        <v>104</v>
      </c>
      <c r="V62" s="251" t="s">
        <v>101</v>
      </c>
      <c r="W62" s="284"/>
    </row>
    <row r="63" spans="1:23" ht="15" customHeight="1" x14ac:dyDescent="0.25">
      <c r="A63" s="270"/>
      <c r="B63" s="624"/>
      <c r="C63" s="625"/>
      <c r="D63" s="625"/>
      <c r="E63" s="270"/>
      <c r="F63" s="629" t="s">
        <v>129</v>
      </c>
      <c r="G63" s="630"/>
      <c r="H63" s="70">
        <v>0.75</v>
      </c>
      <c r="I63" s="70">
        <v>0.625</v>
      </c>
      <c r="J63" s="70">
        <v>0.625</v>
      </c>
      <c r="K63" s="70">
        <v>0.625</v>
      </c>
      <c r="L63" s="70">
        <v>0.625</v>
      </c>
      <c r="M63" s="70">
        <v>0.625</v>
      </c>
      <c r="N63" s="70">
        <v>0.625</v>
      </c>
      <c r="O63" s="70">
        <v>0.5</v>
      </c>
      <c r="P63" s="23" t="e">
        <v>#N/A</v>
      </c>
      <c r="Q63" s="281"/>
      <c r="R63" s="272"/>
      <c r="S63" s="31" t="s">
        <v>891</v>
      </c>
      <c r="T63" s="35">
        <v>102</v>
      </c>
      <c r="U63" s="39" t="s">
        <v>135</v>
      </c>
      <c r="V63" s="40">
        <v>0.25</v>
      </c>
      <c r="W63" s="284"/>
    </row>
    <row r="64" spans="1:23" x14ac:dyDescent="0.25">
      <c r="A64" s="270"/>
      <c r="B64" s="624"/>
      <c r="C64" s="625"/>
      <c r="D64" s="625"/>
      <c r="E64" s="270"/>
      <c r="F64" s="629" t="s">
        <v>131</v>
      </c>
      <c r="G64" s="630"/>
      <c r="H64" s="70">
        <v>-0.75</v>
      </c>
      <c r="I64" s="70">
        <v>-0.75</v>
      </c>
      <c r="J64" s="70">
        <v>-0.75</v>
      </c>
      <c r="K64" s="70">
        <v>-0.75</v>
      </c>
      <c r="L64" s="70">
        <v>-0.75</v>
      </c>
      <c r="M64" s="70">
        <v>-0.75</v>
      </c>
      <c r="N64" s="70">
        <v>-0.75</v>
      </c>
      <c r="O64" s="70">
        <v>-0.75</v>
      </c>
      <c r="P64" s="23" t="e">
        <v>#N/A</v>
      </c>
      <c r="Q64" s="282"/>
      <c r="R64" s="272"/>
      <c r="S64" s="31" t="s">
        <v>892</v>
      </c>
      <c r="T64" s="35">
        <v>102.5</v>
      </c>
      <c r="U64" s="39" t="s">
        <v>53</v>
      </c>
      <c r="V64" s="40">
        <v>0</v>
      </c>
      <c r="W64" s="284"/>
    </row>
    <row r="65" spans="1:34" x14ac:dyDescent="0.25">
      <c r="A65" s="270"/>
      <c r="B65" s="624"/>
      <c r="C65" s="625"/>
      <c r="D65" s="625"/>
      <c r="E65" s="270"/>
      <c r="F65" s="629" t="s">
        <v>133</v>
      </c>
      <c r="G65" s="630"/>
      <c r="H65" s="70">
        <v>0</v>
      </c>
      <c r="I65" s="70">
        <v>0</v>
      </c>
      <c r="J65" s="70">
        <v>0</v>
      </c>
      <c r="K65" s="70">
        <v>0</v>
      </c>
      <c r="L65" s="70">
        <v>0</v>
      </c>
      <c r="M65" s="70">
        <v>0</v>
      </c>
      <c r="N65" s="70">
        <v>0</v>
      </c>
      <c r="O65" s="70">
        <v>-0.25</v>
      </c>
      <c r="P65" s="23" t="e">
        <v>#N/A</v>
      </c>
      <c r="Q65" s="280"/>
      <c r="R65" s="270"/>
      <c r="S65" s="852" t="s">
        <v>134</v>
      </c>
      <c r="T65" s="853"/>
      <c r="U65" s="39" t="s">
        <v>140</v>
      </c>
      <c r="V65" s="40">
        <v>-0.5</v>
      </c>
      <c r="W65" s="284"/>
    </row>
    <row r="66" spans="1:34" ht="15.75" customHeight="1" x14ac:dyDescent="0.25">
      <c r="A66" s="270"/>
      <c r="B66" s="624"/>
      <c r="C66" s="625"/>
      <c r="D66" s="625"/>
      <c r="E66" s="270"/>
      <c r="F66" s="629" t="s">
        <v>136</v>
      </c>
      <c r="G66" s="630"/>
      <c r="H66" s="70">
        <v>0.375</v>
      </c>
      <c r="I66" s="70">
        <v>0.375</v>
      </c>
      <c r="J66" s="70">
        <v>0.375</v>
      </c>
      <c r="K66" s="70">
        <v>0.375</v>
      </c>
      <c r="L66" s="70">
        <v>0.375</v>
      </c>
      <c r="M66" s="70">
        <v>0.375</v>
      </c>
      <c r="N66" s="70">
        <v>0.375</v>
      </c>
      <c r="O66" s="70">
        <v>0.375</v>
      </c>
      <c r="P66" s="23" t="e">
        <v>#N/A</v>
      </c>
      <c r="Q66" s="280"/>
      <c r="R66" s="270"/>
      <c r="S66" s="31" t="s">
        <v>137</v>
      </c>
      <c r="T66" s="38">
        <v>99.75</v>
      </c>
      <c r="U66" s="43" t="s">
        <v>142</v>
      </c>
      <c r="V66" s="40">
        <v>0.25</v>
      </c>
      <c r="W66" s="270"/>
    </row>
    <row r="67" spans="1:34" ht="15.75" customHeight="1" x14ac:dyDescent="0.25">
      <c r="A67" s="270"/>
      <c r="B67" s="624"/>
      <c r="C67" s="625"/>
      <c r="D67" s="625"/>
      <c r="E67" s="270"/>
      <c r="F67" s="629" t="s">
        <v>138</v>
      </c>
      <c r="G67" s="630"/>
      <c r="H67" s="70">
        <v>0.625</v>
      </c>
      <c r="I67" s="70">
        <v>0.42499999999999999</v>
      </c>
      <c r="J67" s="70">
        <v>0.42499999999999999</v>
      </c>
      <c r="K67" s="70">
        <v>0.42499999999999999</v>
      </c>
      <c r="L67" s="70">
        <v>0.42499999999999999</v>
      </c>
      <c r="M67" s="70">
        <v>0.42499999999999999</v>
      </c>
      <c r="N67" s="70">
        <v>0.42499999999999999</v>
      </c>
      <c r="O67" s="70">
        <v>0.42499999999999999</v>
      </c>
      <c r="P67" s="23" t="e">
        <v>#N/A</v>
      </c>
      <c r="Q67" s="280"/>
      <c r="R67" s="270"/>
      <c r="S67" s="852" t="s">
        <v>139</v>
      </c>
      <c r="T67" s="853"/>
      <c r="U67" s="39" t="s">
        <v>144</v>
      </c>
      <c r="V67" s="40">
        <v>-0.5</v>
      </c>
      <c r="W67" s="270"/>
      <c r="Y67" s="3"/>
    </row>
    <row r="68" spans="1:34" ht="15.75" thickBot="1" x14ac:dyDescent="0.3">
      <c r="A68" s="270"/>
      <c r="B68" s="624"/>
      <c r="C68" s="625"/>
      <c r="D68" s="625"/>
      <c r="E68" s="270"/>
      <c r="F68" s="663" t="s">
        <v>141</v>
      </c>
      <c r="G68" s="664"/>
      <c r="H68" s="86">
        <v>1</v>
      </c>
      <c r="I68" s="86">
        <v>0.75</v>
      </c>
      <c r="J68" s="86">
        <v>0.75</v>
      </c>
      <c r="K68" s="86">
        <v>0.75</v>
      </c>
      <c r="L68" s="86">
        <v>0.75</v>
      </c>
      <c r="M68" s="86">
        <v>0.75</v>
      </c>
      <c r="N68" s="86">
        <v>0.75</v>
      </c>
      <c r="O68" s="86">
        <v>0.75</v>
      </c>
      <c r="P68" s="191" t="e">
        <v>#N/A</v>
      </c>
      <c r="Q68" s="270"/>
      <c r="R68" s="270"/>
      <c r="S68" s="41" t="s">
        <v>90</v>
      </c>
      <c r="T68" s="42">
        <v>6.625</v>
      </c>
      <c r="U68" s="39" t="s">
        <v>147</v>
      </c>
      <c r="V68" s="40">
        <v>0.25</v>
      </c>
      <c r="W68" s="270"/>
      <c r="Y68" s="3"/>
      <c r="AD68" s="3"/>
      <c r="AE68" s="3"/>
      <c r="AF68" s="3"/>
      <c r="AG68" s="3"/>
      <c r="AH68" s="3"/>
    </row>
    <row r="69" spans="1:34" x14ac:dyDescent="0.25">
      <c r="A69" s="270"/>
      <c r="B69" s="624"/>
      <c r="C69" s="625"/>
      <c r="D69" s="625"/>
      <c r="E69" s="270"/>
      <c r="F69" s="818" t="s">
        <v>143</v>
      </c>
      <c r="G69" s="819"/>
      <c r="H69" s="819"/>
      <c r="I69" s="819"/>
      <c r="J69" s="819"/>
      <c r="K69" s="819"/>
      <c r="L69" s="819"/>
      <c r="M69" s="819"/>
      <c r="N69" s="819"/>
      <c r="O69" s="819"/>
      <c r="P69" s="820"/>
      <c r="Q69" s="270"/>
      <c r="R69" s="270"/>
      <c r="S69" s="41" t="s">
        <v>122</v>
      </c>
      <c r="T69" s="42">
        <v>7.375</v>
      </c>
      <c r="U69" s="39" t="s">
        <v>150</v>
      </c>
      <c r="V69" s="40">
        <v>-0.5</v>
      </c>
      <c r="W69" s="270"/>
      <c r="X69" s="3"/>
      <c r="Y69" s="3"/>
      <c r="AD69" s="3"/>
      <c r="AE69" s="3"/>
      <c r="AF69" s="3"/>
      <c r="AG69" s="3"/>
      <c r="AH69" s="3"/>
    </row>
    <row r="70" spans="1:34" ht="15.75" customHeight="1" x14ac:dyDescent="0.25">
      <c r="A70" s="270"/>
      <c r="B70" s="624"/>
      <c r="C70" s="625"/>
      <c r="D70" s="625"/>
      <c r="E70" s="270"/>
      <c r="F70" s="629" t="s">
        <v>145</v>
      </c>
      <c r="G70" s="630"/>
      <c r="H70" s="432">
        <v>-0.25</v>
      </c>
      <c r="I70" s="432">
        <v>-0.25</v>
      </c>
      <c r="J70" s="432">
        <v>-0.5</v>
      </c>
      <c r="K70" s="432">
        <v>-0.5</v>
      </c>
      <c r="L70" s="432">
        <v>-0.5</v>
      </c>
      <c r="M70" s="432">
        <v>-0.5</v>
      </c>
      <c r="N70" s="432">
        <v>-0.5</v>
      </c>
      <c r="O70" s="432" t="e">
        <v>#N/A</v>
      </c>
      <c r="P70" s="455" t="e">
        <v>#N/A</v>
      </c>
      <c r="Q70" s="270"/>
      <c r="R70" s="270"/>
      <c r="S70" s="852" t="s">
        <v>146</v>
      </c>
      <c r="T70" s="853"/>
      <c r="U70" s="852" t="s">
        <v>163</v>
      </c>
      <c r="V70" s="853"/>
      <c r="W70" s="270"/>
      <c r="X70" s="3"/>
      <c r="Y70" s="3"/>
      <c r="AD70" s="3"/>
      <c r="AE70" s="3"/>
      <c r="AF70" s="3"/>
      <c r="AG70" s="3"/>
      <c r="AH70" s="3"/>
    </row>
    <row r="71" spans="1:34" ht="15" customHeight="1" x14ac:dyDescent="0.25">
      <c r="A71" s="270"/>
      <c r="B71" s="888" t="s">
        <v>153</v>
      </c>
      <c r="C71" s="889"/>
      <c r="D71" s="889"/>
      <c r="E71" s="270"/>
      <c r="F71" s="629" t="s">
        <v>148</v>
      </c>
      <c r="G71" s="630"/>
      <c r="H71" s="432">
        <v>-0.5</v>
      </c>
      <c r="I71" s="432">
        <v>-0.5</v>
      </c>
      <c r="J71" s="432">
        <v>-0.5</v>
      </c>
      <c r="K71" s="432">
        <v>-0.5</v>
      </c>
      <c r="L71" s="432">
        <v>-0.75</v>
      </c>
      <c r="M71" s="432">
        <v>-0.75</v>
      </c>
      <c r="N71" s="432">
        <v>-0.75</v>
      </c>
      <c r="O71" s="432">
        <v>-1</v>
      </c>
      <c r="P71" s="455" t="e">
        <v>#N/A</v>
      </c>
      <c r="Q71" s="270"/>
      <c r="R71" s="270"/>
      <c r="S71" s="643" t="s">
        <v>149</v>
      </c>
      <c r="T71" s="783"/>
      <c r="U71" s="643" t="s">
        <v>164</v>
      </c>
      <c r="V71" s="647"/>
      <c r="W71" s="270"/>
      <c r="X71" s="3"/>
      <c r="Y71" s="3"/>
      <c r="AD71" s="3"/>
      <c r="AE71" s="3"/>
      <c r="AF71" s="3"/>
      <c r="AG71" s="3"/>
      <c r="AH71" s="3"/>
    </row>
    <row r="72" spans="1:34" ht="17.25" customHeight="1" x14ac:dyDescent="0.25">
      <c r="A72" s="270"/>
      <c r="B72" s="626" t="s">
        <v>156</v>
      </c>
      <c r="C72" s="627"/>
      <c r="D72" s="627"/>
      <c r="E72" s="270"/>
      <c r="F72" s="629" t="s">
        <v>151</v>
      </c>
      <c r="G72" s="630"/>
      <c r="H72" s="432">
        <v>0</v>
      </c>
      <c r="I72" s="432">
        <v>0</v>
      </c>
      <c r="J72" s="432">
        <v>0</v>
      </c>
      <c r="K72" s="432">
        <v>0</v>
      </c>
      <c r="L72" s="432">
        <v>0</v>
      </c>
      <c r="M72" s="432">
        <v>0</v>
      </c>
      <c r="N72" s="432">
        <v>0</v>
      </c>
      <c r="O72" s="432">
        <v>-0.25</v>
      </c>
      <c r="P72" s="455">
        <v>-0.5</v>
      </c>
      <c r="Q72" s="270"/>
      <c r="R72" s="270"/>
      <c r="S72" s="643" t="s">
        <v>152</v>
      </c>
      <c r="T72" s="783"/>
      <c r="U72" s="643" t="s">
        <v>165</v>
      </c>
      <c r="V72" s="647"/>
      <c r="W72" s="270"/>
      <c r="X72" s="3"/>
      <c r="Y72" s="3"/>
      <c r="AD72" s="3"/>
      <c r="AE72" s="3"/>
      <c r="AF72" s="3"/>
      <c r="AG72" s="3"/>
      <c r="AH72" s="3"/>
    </row>
    <row r="73" spans="1:34" ht="15" customHeight="1" x14ac:dyDescent="0.25">
      <c r="A73" s="270"/>
      <c r="B73" s="888" t="s">
        <v>159</v>
      </c>
      <c r="C73" s="889"/>
      <c r="D73" s="889"/>
      <c r="E73" s="272"/>
      <c r="F73" s="629" t="s">
        <v>221</v>
      </c>
      <c r="G73" s="630"/>
      <c r="H73" s="432">
        <v>0</v>
      </c>
      <c r="I73" s="432">
        <v>0</v>
      </c>
      <c r="J73" s="432">
        <v>-0.125</v>
      </c>
      <c r="K73" s="432">
        <v>-0.25</v>
      </c>
      <c r="L73" s="432">
        <v>-0.25</v>
      </c>
      <c r="M73" s="432">
        <v>-0.25</v>
      </c>
      <c r="N73" s="432">
        <v>-0.25</v>
      </c>
      <c r="O73" s="432">
        <v>-0.5</v>
      </c>
      <c r="P73" s="455" t="e">
        <v>#N/A</v>
      </c>
      <c r="Q73" s="270"/>
      <c r="R73" s="270"/>
      <c r="S73" s="643" t="s">
        <v>155</v>
      </c>
      <c r="T73" s="783"/>
      <c r="U73" s="645" t="s">
        <v>167</v>
      </c>
      <c r="V73" s="646"/>
      <c r="W73" s="270"/>
      <c r="X73" s="3"/>
      <c r="Y73" s="3"/>
      <c r="AD73" s="3"/>
      <c r="AE73" s="3"/>
      <c r="AF73" s="3"/>
      <c r="AG73" s="3"/>
      <c r="AH73" s="3"/>
    </row>
    <row r="74" spans="1:34" ht="15" customHeight="1" x14ac:dyDescent="0.25">
      <c r="A74" s="270"/>
      <c r="B74" s="628" t="s">
        <v>664</v>
      </c>
      <c r="C74" s="628"/>
      <c r="D74" s="628"/>
      <c r="E74" s="272"/>
      <c r="F74" s="629" t="s">
        <v>228</v>
      </c>
      <c r="G74" s="630"/>
      <c r="H74" s="432">
        <v>-0.25</v>
      </c>
      <c r="I74" s="432">
        <v>-0.25</v>
      </c>
      <c r="J74" s="432">
        <v>-0.25</v>
      </c>
      <c r="K74" s="432">
        <v>-0.375</v>
      </c>
      <c r="L74" s="432">
        <v>-0.5</v>
      </c>
      <c r="M74" s="432">
        <v>-0.625</v>
      </c>
      <c r="N74" s="432">
        <v>-1</v>
      </c>
      <c r="O74" s="432" t="e">
        <v>#N/A</v>
      </c>
      <c r="P74" s="455" t="e">
        <v>#N/A</v>
      </c>
      <c r="Q74" s="270"/>
      <c r="R74" s="270"/>
      <c r="S74" s="643" t="s">
        <v>158</v>
      </c>
      <c r="T74" s="647"/>
      <c r="U74" s="254"/>
      <c r="V74" s="255"/>
      <c r="W74" s="270"/>
      <c r="X74" s="3"/>
      <c r="Y74" s="3"/>
      <c r="AD74" s="3"/>
      <c r="AE74" s="3"/>
      <c r="AF74" s="3"/>
      <c r="AG74" s="3"/>
      <c r="AH74" s="3"/>
    </row>
    <row r="75" spans="1:34" ht="15" customHeight="1" x14ac:dyDescent="0.25">
      <c r="A75" s="270"/>
      <c r="B75" s="628"/>
      <c r="C75" s="628"/>
      <c r="D75" s="628"/>
      <c r="E75" s="272"/>
      <c r="F75" s="629" t="s">
        <v>157</v>
      </c>
      <c r="G75" s="630"/>
      <c r="H75" s="432">
        <v>-2</v>
      </c>
      <c r="I75" s="432">
        <v>-2</v>
      </c>
      <c r="J75" s="432">
        <v>-2.5</v>
      </c>
      <c r="K75" s="432">
        <v>-2.5</v>
      </c>
      <c r="L75" s="432">
        <v>-2.5</v>
      </c>
      <c r="M75" s="432">
        <v>-2.5</v>
      </c>
      <c r="N75" s="432">
        <v>-2.75</v>
      </c>
      <c r="O75" s="432">
        <v>-3</v>
      </c>
      <c r="P75" s="455" t="e">
        <v>#N/A</v>
      </c>
      <c r="Q75" s="270"/>
      <c r="R75" s="270"/>
      <c r="S75" s="643" t="s">
        <v>161</v>
      </c>
      <c r="T75" s="647"/>
      <c r="U75" s="254"/>
      <c r="V75" s="255"/>
      <c r="W75" s="270"/>
      <c r="X75" s="3"/>
      <c r="Y75" s="3"/>
      <c r="AD75" s="3"/>
      <c r="AE75" s="3"/>
      <c r="AF75" s="3"/>
      <c r="AG75" s="3"/>
      <c r="AH75" s="3"/>
    </row>
    <row r="76" spans="1:34" ht="15" customHeight="1" thickBot="1" x14ac:dyDescent="0.3">
      <c r="A76" s="270"/>
      <c r="B76" s="628"/>
      <c r="C76" s="628"/>
      <c r="D76" s="628"/>
      <c r="E76" s="272"/>
      <c r="F76" s="663" t="s">
        <v>69</v>
      </c>
      <c r="G76" s="664"/>
      <c r="H76" s="432">
        <v>-0.5</v>
      </c>
      <c r="I76" s="432">
        <v>-0.5</v>
      </c>
      <c r="J76" s="432">
        <v>-0.5</v>
      </c>
      <c r="K76" s="432">
        <v>-0.5</v>
      </c>
      <c r="L76" s="432">
        <v>-0.5</v>
      </c>
      <c r="M76" s="432">
        <v>-0.5</v>
      </c>
      <c r="N76" s="432">
        <v>-0.5</v>
      </c>
      <c r="O76" s="432">
        <v>-0.5</v>
      </c>
      <c r="P76" s="455">
        <v>-0.5</v>
      </c>
      <c r="Q76" s="270"/>
      <c r="R76" s="270"/>
      <c r="S76" s="254"/>
      <c r="T76" s="254"/>
      <c r="U76" s="254"/>
      <c r="V76" s="255"/>
      <c r="W76" s="270"/>
      <c r="X76" s="3"/>
      <c r="Y76" s="3"/>
      <c r="AD76" s="3"/>
      <c r="AE76" s="3"/>
      <c r="AF76" s="3"/>
      <c r="AG76" s="3"/>
      <c r="AH76" s="3"/>
    </row>
    <row r="77" spans="1:34" ht="15" customHeight="1" x14ac:dyDescent="0.25">
      <c r="A77" s="270"/>
      <c r="B77" s="628"/>
      <c r="C77" s="628"/>
      <c r="D77" s="628"/>
      <c r="E77" s="272"/>
      <c r="F77" s="818" t="s">
        <v>33</v>
      </c>
      <c r="G77" s="819"/>
      <c r="H77" s="819"/>
      <c r="I77" s="819"/>
      <c r="J77" s="819"/>
      <c r="K77" s="819"/>
      <c r="L77" s="819"/>
      <c r="M77" s="819"/>
      <c r="N77" s="819"/>
      <c r="O77" s="819"/>
      <c r="P77" s="820"/>
      <c r="Q77" s="270"/>
      <c r="R77" s="270"/>
      <c r="S77" s="885" t="s">
        <v>765</v>
      </c>
      <c r="T77" s="886"/>
      <c r="U77" s="886"/>
      <c r="V77" s="887"/>
      <c r="W77" s="270"/>
      <c r="X77" s="3"/>
      <c r="Y77" s="3"/>
      <c r="AD77" s="3"/>
      <c r="AE77" s="3"/>
      <c r="AF77" s="3"/>
      <c r="AG77" s="3"/>
      <c r="AH77" s="3"/>
    </row>
    <row r="78" spans="1:34" ht="15" customHeight="1" x14ac:dyDescent="0.25">
      <c r="A78" s="270"/>
      <c r="B78" s="628"/>
      <c r="C78" s="628"/>
      <c r="D78" s="628"/>
      <c r="E78" s="272"/>
      <c r="F78" s="629" t="s">
        <v>34</v>
      </c>
      <c r="G78" s="630"/>
      <c r="H78" s="22">
        <v>0</v>
      </c>
      <c r="I78" s="22">
        <v>0</v>
      </c>
      <c r="J78" s="22">
        <v>0</v>
      </c>
      <c r="K78" s="22">
        <v>0</v>
      </c>
      <c r="L78" s="22">
        <v>0</v>
      </c>
      <c r="M78" s="22">
        <v>0</v>
      </c>
      <c r="N78" s="22">
        <v>0</v>
      </c>
      <c r="O78" s="22">
        <v>0</v>
      </c>
      <c r="P78" s="23">
        <v>0</v>
      </c>
      <c r="Q78" s="270"/>
      <c r="R78" s="270"/>
      <c r="S78" s="787" t="str">
        <f>'Feed(WS)'!$U$161</f>
        <v>Tier 1 States</v>
      </c>
      <c r="T78" s="689" t="str">
        <f>'Feed(WS)'!$V$161</f>
        <v>AZ, CA, CO, CT, GA, HI, MA, MD, NJ, NV, OR, SC, UT, VA, WA</v>
      </c>
      <c r="U78" s="691"/>
      <c r="V78" s="687">
        <f>'Feed(WS)'!$W$161</f>
        <v>0</v>
      </c>
      <c r="W78" s="270"/>
      <c r="X78" s="3"/>
      <c r="Y78" s="3"/>
      <c r="AD78" s="3"/>
      <c r="AE78" s="3"/>
      <c r="AF78" s="3"/>
      <c r="AG78" s="3"/>
      <c r="AH78" s="3"/>
    </row>
    <row r="79" spans="1:34" ht="15" customHeight="1" x14ac:dyDescent="0.25">
      <c r="A79" s="270"/>
      <c r="B79" s="628"/>
      <c r="C79" s="628"/>
      <c r="D79" s="628"/>
      <c r="E79" s="272"/>
      <c r="F79" s="629" t="s">
        <v>166</v>
      </c>
      <c r="G79" s="630"/>
      <c r="H79" s="22">
        <v>-1.25</v>
      </c>
      <c r="I79" s="22">
        <v>-1.25</v>
      </c>
      <c r="J79" s="22">
        <v>-1.25</v>
      </c>
      <c r="K79" s="22">
        <v>-1.25</v>
      </c>
      <c r="L79" s="22">
        <v>-1.25</v>
      </c>
      <c r="M79" s="22">
        <v>-1.25</v>
      </c>
      <c r="N79" s="22">
        <v>-1.5</v>
      </c>
      <c r="O79" s="22">
        <v>-2</v>
      </c>
      <c r="P79" s="23" t="e">
        <v>#N/A</v>
      </c>
      <c r="Q79" s="270"/>
      <c r="R79" s="270"/>
      <c r="S79" s="789"/>
      <c r="T79" s="692"/>
      <c r="U79" s="694"/>
      <c r="V79" s="688"/>
      <c r="W79" s="270"/>
      <c r="AD79" s="3"/>
      <c r="AE79" s="3"/>
      <c r="AF79" s="3"/>
      <c r="AG79" s="3"/>
      <c r="AH79" s="3"/>
    </row>
    <row r="80" spans="1:34" ht="15" customHeight="1" x14ac:dyDescent="0.25">
      <c r="A80" s="270"/>
      <c r="B80" s="883"/>
      <c r="C80" s="884"/>
      <c r="D80" s="884"/>
      <c r="E80" s="272"/>
      <c r="F80" s="629" t="s">
        <v>168</v>
      </c>
      <c r="G80" s="630"/>
      <c r="H80" s="22">
        <v>-1.75</v>
      </c>
      <c r="I80" s="22">
        <v>-1.75</v>
      </c>
      <c r="J80" s="22">
        <v>-1.75</v>
      </c>
      <c r="K80" s="22">
        <v>-1.75</v>
      </c>
      <c r="L80" s="22">
        <v>-1.75</v>
      </c>
      <c r="M80" s="22">
        <v>-2</v>
      </c>
      <c r="N80" s="22">
        <v>-2</v>
      </c>
      <c r="O80" s="22" t="e">
        <v>#N/A</v>
      </c>
      <c r="P80" s="23" t="e">
        <v>#N/A</v>
      </c>
      <c r="Q80" s="270"/>
      <c r="R80" s="270"/>
      <c r="S80" s="787" t="str">
        <f>'Feed(WS)'!$U$162</f>
        <v>Tier 2 States</v>
      </c>
      <c r="T80" s="689" t="str">
        <f>'Feed(WS)'!$V$162</f>
        <v>DC, FL, ID, IL, IN, LA, MI, MN, MO, NC, OH, OK, PA, RI, TN, TX</v>
      </c>
      <c r="U80" s="691"/>
      <c r="V80" s="687">
        <f>'Feed(WS)'!$W$162</f>
        <v>0.15</v>
      </c>
      <c r="W80" s="270"/>
    </row>
    <row r="81" spans="1:23" ht="15" customHeight="1" x14ac:dyDescent="0.25">
      <c r="A81" s="270"/>
      <c r="B81" s="883"/>
      <c r="C81" s="884"/>
      <c r="D81" s="884"/>
      <c r="E81" s="272"/>
      <c r="F81" s="629" t="s">
        <v>169</v>
      </c>
      <c r="G81" s="630"/>
      <c r="H81" s="22">
        <v>-1.75</v>
      </c>
      <c r="I81" s="22">
        <v>-1.75</v>
      </c>
      <c r="J81" s="22">
        <v>-1.75</v>
      </c>
      <c r="K81" s="22">
        <v>-1.75</v>
      </c>
      <c r="L81" s="22">
        <v>-1.75</v>
      </c>
      <c r="M81" s="22">
        <v>-2</v>
      </c>
      <c r="N81" s="22">
        <v>-2</v>
      </c>
      <c r="O81" s="22" t="e">
        <v>#N/A</v>
      </c>
      <c r="P81" s="23" t="e">
        <v>#N/A</v>
      </c>
      <c r="Q81" s="270"/>
      <c r="R81" s="270"/>
      <c r="S81" s="789"/>
      <c r="T81" s="692"/>
      <c r="U81" s="694"/>
      <c r="V81" s="688"/>
      <c r="W81" s="270"/>
    </row>
    <row r="82" spans="1:23" ht="15" customHeight="1" thickBot="1" x14ac:dyDescent="0.3">
      <c r="A82" s="270"/>
      <c r="B82" s="883"/>
      <c r="C82" s="884"/>
      <c r="D82" s="884"/>
      <c r="E82" s="272"/>
      <c r="F82" s="663" t="s">
        <v>170</v>
      </c>
      <c r="G82" s="664"/>
      <c r="H82" s="22">
        <v>0</v>
      </c>
      <c r="I82" s="22">
        <v>0</v>
      </c>
      <c r="J82" s="22">
        <v>0</v>
      </c>
      <c r="K82" s="22">
        <v>0</v>
      </c>
      <c r="L82" s="22">
        <v>0</v>
      </c>
      <c r="M82" s="22">
        <v>0</v>
      </c>
      <c r="N82" s="22">
        <v>0</v>
      </c>
      <c r="O82" s="22">
        <v>0</v>
      </c>
      <c r="P82" s="23">
        <v>0</v>
      </c>
      <c r="Q82" s="270"/>
      <c r="R82" s="270"/>
      <c r="S82" s="787" t="str">
        <f>'Feed(WS)'!$U$163</f>
        <v>Tier 3 States</v>
      </c>
      <c r="T82" s="689" t="str">
        <f>'Feed(WS)'!$V$163</f>
        <v>AK, AL, AR, DE, IA, KS, KY, ME, MS, MT, ND, NE, NH, NM, SD, VT WI, WV, WY</v>
      </c>
      <c r="U82" s="691"/>
      <c r="V82" s="687">
        <f>'Feed(WS)'!$W$163</f>
        <v>0.25</v>
      </c>
      <c r="W82" s="270"/>
    </row>
    <row r="83" spans="1:23" ht="15" customHeight="1" thickBot="1" x14ac:dyDescent="0.3">
      <c r="A83" s="270"/>
      <c r="B83" s="883"/>
      <c r="C83" s="884"/>
      <c r="D83" s="884"/>
      <c r="E83" s="272"/>
      <c r="F83" s="821" t="s">
        <v>36</v>
      </c>
      <c r="G83" s="822"/>
      <c r="H83" s="822"/>
      <c r="I83" s="822"/>
      <c r="J83" s="822"/>
      <c r="K83" s="822"/>
      <c r="L83" s="822"/>
      <c r="M83" s="822"/>
      <c r="N83" s="822"/>
      <c r="O83" s="822"/>
      <c r="P83" s="823"/>
      <c r="Q83" s="270"/>
      <c r="R83" s="270"/>
      <c r="S83" s="788"/>
      <c r="T83" s="785"/>
      <c r="U83" s="786"/>
      <c r="V83" s="784"/>
      <c r="W83" s="270"/>
    </row>
    <row r="84" spans="1:23" ht="15" customHeight="1" x14ac:dyDescent="0.25">
      <c r="A84" s="270"/>
      <c r="B84" s="883"/>
      <c r="C84" s="884"/>
      <c r="D84" s="884"/>
      <c r="E84" s="272"/>
      <c r="F84" s="637" t="s">
        <v>171</v>
      </c>
      <c r="G84" s="638"/>
      <c r="H84" s="192">
        <v>-1.5</v>
      </c>
      <c r="I84" s="192">
        <v>-1.5</v>
      </c>
      <c r="J84" s="192">
        <v>-2</v>
      </c>
      <c r="K84" s="192">
        <v>-2</v>
      </c>
      <c r="L84" s="192">
        <v>-2</v>
      </c>
      <c r="M84" s="192">
        <v>-2</v>
      </c>
      <c r="N84" s="192" t="e">
        <v>#N/A</v>
      </c>
      <c r="O84" s="192" t="e">
        <v>#N/A</v>
      </c>
      <c r="P84" s="190" t="e">
        <v>#N/A</v>
      </c>
      <c r="Q84" s="270"/>
      <c r="R84" s="270"/>
      <c r="S84" s="620"/>
      <c r="T84" s="254"/>
      <c r="U84" s="254"/>
      <c r="V84" s="255"/>
      <c r="W84" s="270"/>
    </row>
    <row r="85" spans="1:23" ht="15" customHeight="1" x14ac:dyDescent="0.25">
      <c r="A85" s="270"/>
      <c r="B85" s="883"/>
      <c r="C85" s="884"/>
      <c r="D85" s="884"/>
      <c r="E85" s="272"/>
      <c r="F85" s="635" t="s">
        <v>172</v>
      </c>
      <c r="G85" s="636"/>
      <c r="H85" s="22">
        <v>-1</v>
      </c>
      <c r="I85" s="22">
        <v>-1</v>
      </c>
      <c r="J85" s="22">
        <v>-1</v>
      </c>
      <c r="K85" s="22">
        <v>-1.25</v>
      </c>
      <c r="L85" s="22">
        <v>-1.25</v>
      </c>
      <c r="M85" s="22">
        <v>-1.25</v>
      </c>
      <c r="N85" s="22">
        <v>-1.5</v>
      </c>
      <c r="O85" s="22" t="e">
        <v>#N/A</v>
      </c>
      <c r="P85" s="23" t="e">
        <v>#N/A</v>
      </c>
      <c r="Q85" s="270"/>
      <c r="R85" s="270"/>
      <c r="S85" s="258"/>
      <c r="T85" s="254"/>
      <c r="U85" s="254"/>
      <c r="V85" s="255"/>
      <c r="W85" s="270"/>
    </row>
    <row r="86" spans="1:23" ht="15" customHeight="1" x14ac:dyDescent="0.25">
      <c r="A86" s="270"/>
      <c r="B86" s="883"/>
      <c r="C86" s="884"/>
      <c r="D86" s="884"/>
      <c r="E86" s="272"/>
      <c r="F86" s="635" t="s">
        <v>173</v>
      </c>
      <c r="G86" s="636"/>
      <c r="H86" s="22">
        <v>-0.25</v>
      </c>
      <c r="I86" s="22">
        <v>-0.25</v>
      </c>
      <c r="J86" s="22">
        <v>-0.25</v>
      </c>
      <c r="K86" s="22">
        <v>-0.25</v>
      </c>
      <c r="L86" s="22">
        <v>-0.25</v>
      </c>
      <c r="M86" s="22">
        <v>-0.5</v>
      </c>
      <c r="N86" s="22">
        <v>-0.5</v>
      </c>
      <c r="O86" s="22">
        <v>-0.5</v>
      </c>
      <c r="P86" s="23">
        <v>-0.5</v>
      </c>
      <c r="Q86" s="270"/>
      <c r="R86" s="270"/>
      <c r="S86" s="258"/>
      <c r="T86" s="254"/>
      <c r="U86" s="254"/>
      <c r="V86" s="255"/>
      <c r="W86" s="270"/>
    </row>
    <row r="87" spans="1:23" ht="15" customHeight="1" x14ac:dyDescent="0.25">
      <c r="A87" s="270"/>
      <c r="B87" s="883"/>
      <c r="C87" s="884"/>
      <c r="D87" s="884"/>
      <c r="E87" s="272"/>
      <c r="F87" s="639" t="s">
        <v>174</v>
      </c>
      <c r="G87" s="640"/>
      <c r="H87" s="44">
        <v>0</v>
      </c>
      <c r="I87" s="44">
        <v>0</v>
      </c>
      <c r="J87" s="44">
        <v>0</v>
      </c>
      <c r="K87" s="44">
        <v>0</v>
      </c>
      <c r="L87" s="44">
        <v>0</v>
      </c>
      <c r="M87" s="44">
        <v>0</v>
      </c>
      <c r="N87" s="44">
        <v>0</v>
      </c>
      <c r="O87" s="44">
        <v>0</v>
      </c>
      <c r="P87" s="45">
        <v>0</v>
      </c>
      <c r="Q87" s="270"/>
      <c r="R87" s="270"/>
      <c r="S87" s="258"/>
      <c r="T87" s="254"/>
      <c r="U87" s="254"/>
      <c r="V87" s="255"/>
      <c r="W87" s="270"/>
    </row>
    <row r="88" spans="1:23" ht="15" customHeight="1" thickBot="1" x14ac:dyDescent="0.3">
      <c r="A88" s="270"/>
      <c r="B88" s="883"/>
      <c r="C88" s="884"/>
      <c r="D88" s="884"/>
      <c r="E88" s="272"/>
      <c r="F88" s="259"/>
      <c r="G88" s="256"/>
      <c r="H88" s="256"/>
      <c r="I88" s="256"/>
      <c r="J88" s="256"/>
      <c r="K88" s="256"/>
      <c r="L88" s="256"/>
      <c r="M88" s="256"/>
      <c r="N88" s="256"/>
      <c r="O88" s="256"/>
      <c r="P88" s="257"/>
      <c r="Q88" s="270"/>
      <c r="R88" s="270"/>
      <c r="S88" s="258"/>
      <c r="T88" s="254"/>
      <c r="U88" s="254"/>
      <c r="V88" s="255"/>
      <c r="W88" s="270"/>
    </row>
    <row r="89" spans="1:23" x14ac:dyDescent="0.25">
      <c r="B89" s="3"/>
      <c r="C89" s="3"/>
      <c r="D89" s="3"/>
      <c r="E89" s="3"/>
      <c r="Q89" s="50"/>
    </row>
    <row r="90" spans="1:23" ht="15.75" x14ac:dyDescent="0.25">
      <c r="B90" s="57"/>
      <c r="C90" s="57"/>
      <c r="D90" s="57"/>
      <c r="E90" s="3"/>
      <c r="Q90" s="50"/>
      <c r="S90" s="3"/>
      <c r="T90" s="3"/>
    </row>
    <row r="91" spans="1:23" x14ac:dyDescent="0.25">
      <c r="B91" s="58"/>
      <c r="C91" s="58"/>
      <c r="D91" s="58"/>
      <c r="E91" s="3"/>
      <c r="Q91" s="58"/>
    </row>
    <row r="92" spans="1:23" x14ac:dyDescent="0.25">
      <c r="B92" s="58"/>
      <c r="C92" s="58"/>
      <c r="D92" s="58"/>
    </row>
    <row r="93" spans="1:23" ht="18.75" customHeight="1" x14ac:dyDescent="0.25">
      <c r="B93" s="58"/>
      <c r="C93" s="58"/>
      <c r="D93" s="58"/>
      <c r="E93" s="3"/>
    </row>
    <row r="94" spans="1:23" x14ac:dyDescent="0.25">
      <c r="B94" s="58"/>
      <c r="C94" s="58"/>
      <c r="D94" s="58"/>
      <c r="E94" s="3"/>
    </row>
    <row r="95" spans="1:23" ht="14.25" customHeight="1" x14ac:dyDescent="0.25">
      <c r="B95" s="58"/>
      <c r="C95" s="58"/>
      <c r="D95" s="58"/>
      <c r="E95" s="3"/>
      <c r="S95" s="3"/>
      <c r="T95" s="3"/>
    </row>
    <row r="96" spans="1:23" ht="15" customHeight="1" x14ac:dyDescent="0.25">
      <c r="B96" s="58"/>
      <c r="C96" s="58"/>
      <c r="D96" s="58"/>
      <c r="E96" s="3"/>
    </row>
    <row r="97" spans="2:16" ht="15" customHeight="1" x14ac:dyDescent="0.25">
      <c r="B97" s="58"/>
      <c r="C97" s="58"/>
      <c r="D97" s="58"/>
      <c r="E97" s="3"/>
      <c r="F97" s="3"/>
      <c r="G97" s="51"/>
      <c r="H97" s="52"/>
      <c r="I97" s="52"/>
      <c r="J97" s="52"/>
      <c r="K97" s="52"/>
      <c r="L97" s="52"/>
      <c r="M97" s="52"/>
      <c r="N97" s="52"/>
      <c r="O97" s="52"/>
    </row>
    <row r="98" spans="2:16" ht="14.25" customHeight="1" x14ac:dyDescent="0.25">
      <c r="B98" s="3"/>
      <c r="C98" s="3"/>
      <c r="D98" s="3"/>
      <c r="E98" s="3"/>
      <c r="F98" s="3"/>
      <c r="G98" s="3"/>
      <c r="H98" s="51"/>
      <c r="I98" s="52"/>
      <c r="J98" s="52"/>
      <c r="K98" s="52"/>
      <c r="L98" s="52"/>
      <c r="M98" s="52"/>
      <c r="N98" s="52"/>
      <c r="O98" s="52"/>
      <c r="P98" s="52"/>
    </row>
    <row r="99" spans="2:16" ht="14.25" customHeight="1" x14ac:dyDescent="0.25">
      <c r="B99" s="3"/>
      <c r="C99" s="3"/>
      <c r="D99" s="3"/>
      <c r="E99" s="3"/>
      <c r="H99" s="52"/>
      <c r="I99" s="52"/>
      <c r="J99" s="52"/>
      <c r="K99" s="52"/>
      <c r="L99" s="52"/>
      <c r="M99" s="52"/>
      <c r="N99" s="52"/>
      <c r="O99" s="52"/>
      <c r="P99" s="52"/>
    </row>
    <row r="100" spans="2:16" ht="14.25" customHeight="1" x14ac:dyDescent="0.25">
      <c r="B100" s="59"/>
      <c r="C100" s="59"/>
      <c r="D100" s="3"/>
      <c r="E100" s="3"/>
      <c r="H100" s="52"/>
      <c r="I100" s="52"/>
      <c r="J100" s="52"/>
      <c r="K100" s="52"/>
      <c r="L100" s="52"/>
      <c r="M100" s="52"/>
      <c r="N100" s="52"/>
      <c r="O100" s="52"/>
      <c r="P100" s="52"/>
    </row>
    <row r="101" spans="2:16" ht="14.25" customHeight="1" x14ac:dyDescent="0.25">
      <c r="B101" s="53"/>
      <c r="C101" s="54"/>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5" customHeight="1" x14ac:dyDescent="0.25">
      <c r="B105" s="53"/>
      <c r="C105" s="54"/>
      <c r="D105" s="3"/>
      <c r="E105" s="3"/>
      <c r="H105" s="52"/>
      <c r="I105" s="52"/>
      <c r="J105" s="52"/>
      <c r="K105" s="52"/>
      <c r="L105" s="52"/>
      <c r="M105" s="52"/>
      <c r="N105" s="52"/>
      <c r="O105" s="52"/>
      <c r="P105" s="52"/>
    </row>
    <row r="106" spans="2:16" x14ac:dyDescent="0.25">
      <c r="B106" s="53"/>
      <c r="C106" s="60"/>
      <c r="D106" s="3"/>
      <c r="E106" s="3"/>
      <c r="H106" s="52"/>
      <c r="I106" s="52"/>
      <c r="J106" s="52"/>
      <c r="K106" s="52"/>
      <c r="L106" s="52"/>
      <c r="M106" s="52"/>
      <c r="N106" s="52"/>
      <c r="O106" s="52"/>
      <c r="P106" s="52"/>
    </row>
    <row r="107" spans="2:16" x14ac:dyDescent="0.25">
      <c r="B107" s="59"/>
      <c r="C107" s="59"/>
      <c r="D107" s="3"/>
      <c r="E107" s="3"/>
      <c r="H107" s="52"/>
      <c r="I107" s="52"/>
      <c r="J107" s="52"/>
      <c r="K107" s="52"/>
      <c r="L107" s="52"/>
      <c r="M107" s="52"/>
      <c r="N107" s="52"/>
      <c r="O107" s="52"/>
      <c r="P107" s="52"/>
    </row>
    <row r="108" spans="2:16" x14ac:dyDescent="0.25">
      <c r="B108" s="53"/>
      <c r="C108" s="54"/>
      <c r="D108" s="3"/>
      <c r="E108" s="3"/>
      <c r="H108" s="52"/>
      <c r="I108" s="52"/>
      <c r="J108" s="52"/>
      <c r="K108" s="52"/>
      <c r="L108" s="52"/>
      <c r="M108" s="52"/>
      <c r="N108" s="52"/>
      <c r="O108" s="52"/>
      <c r="P108" s="52"/>
    </row>
    <row r="109" spans="2:16" x14ac:dyDescent="0.25">
      <c r="B109" s="3"/>
      <c r="C109" s="3"/>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H117" s="52"/>
      <c r="I117" s="52"/>
      <c r="J117" s="52"/>
      <c r="K117" s="52"/>
      <c r="L117" s="52"/>
      <c r="M117" s="52"/>
      <c r="N117" s="52"/>
      <c r="O117" s="52"/>
      <c r="P117" s="52"/>
    </row>
    <row r="118" spans="2:16" x14ac:dyDescent="0.25">
      <c r="H118" s="52"/>
      <c r="I118" s="52"/>
      <c r="J118" s="52"/>
      <c r="K118" s="52"/>
      <c r="L118" s="52"/>
      <c r="M118" s="52"/>
      <c r="N118" s="52"/>
      <c r="O118" s="52"/>
      <c r="P118" s="52"/>
    </row>
    <row r="119" spans="2:16" x14ac:dyDescent="0.25">
      <c r="H119" s="52"/>
      <c r="I119" s="52"/>
      <c r="J119" s="52"/>
      <c r="K119" s="52"/>
      <c r="L119" s="52"/>
      <c r="M119" s="52"/>
      <c r="N119" s="52"/>
      <c r="O119" s="52"/>
      <c r="P119" s="52"/>
    </row>
    <row r="120" spans="2:16" ht="18" customHeight="1" x14ac:dyDescent="0.25">
      <c r="H120" s="52"/>
      <c r="I120" s="52"/>
      <c r="J120" s="52"/>
      <c r="K120" s="52"/>
      <c r="L120" s="52"/>
      <c r="M120" s="52"/>
      <c r="N120" s="52"/>
      <c r="O120" s="52"/>
      <c r="P120" s="52"/>
    </row>
    <row r="121" spans="2:16" ht="15.75" customHeight="1" x14ac:dyDescent="0.25">
      <c r="H121" s="52"/>
      <c r="I121" s="52"/>
      <c r="J121" s="52"/>
      <c r="K121" s="52"/>
      <c r="L121" s="52"/>
      <c r="M121" s="52"/>
      <c r="N121" s="52"/>
      <c r="O121" s="52"/>
      <c r="P121" s="52"/>
    </row>
    <row r="122" spans="2:16" ht="16.5" customHeight="1" x14ac:dyDescent="0.25">
      <c r="H122" s="52"/>
      <c r="I122" s="52"/>
      <c r="J122" s="52"/>
      <c r="K122" s="52"/>
      <c r="L122" s="52"/>
      <c r="M122" s="52"/>
      <c r="N122" s="52"/>
      <c r="O122" s="52"/>
      <c r="P122" s="52"/>
    </row>
    <row r="123" spans="2:16" x14ac:dyDescent="0.25">
      <c r="H123" s="52"/>
      <c r="I123" s="52"/>
      <c r="J123" s="52"/>
      <c r="K123" s="52"/>
      <c r="L123" s="52"/>
      <c r="M123" s="52"/>
      <c r="N123" s="52"/>
      <c r="O123" s="52"/>
      <c r="P123" s="52"/>
    </row>
    <row r="124" spans="2:16" ht="15.75" customHeight="1" x14ac:dyDescent="0.25">
      <c r="H124" s="52"/>
      <c r="I124" s="52"/>
      <c r="J124" s="52"/>
      <c r="K124" s="52"/>
      <c r="L124" s="52"/>
      <c r="M124" s="52"/>
      <c r="N124" s="52"/>
      <c r="O124" s="52"/>
      <c r="P124" s="52"/>
    </row>
    <row r="125" spans="2:16" x14ac:dyDescent="0.25">
      <c r="H125" s="52"/>
      <c r="I125" s="52"/>
      <c r="J125" s="52"/>
      <c r="K125" s="52"/>
      <c r="L125" s="52"/>
      <c r="M125" s="52"/>
      <c r="N125" s="52"/>
      <c r="O125" s="52"/>
      <c r="P125" s="52"/>
    </row>
    <row r="126" spans="2:16" ht="15" customHeight="1" x14ac:dyDescent="0.25">
      <c r="H126" s="52"/>
      <c r="I126" s="52"/>
      <c r="J126" s="52"/>
      <c r="K126" s="52"/>
      <c r="L126" s="52"/>
      <c r="M126" s="52"/>
      <c r="N126" s="52"/>
      <c r="O126" s="52"/>
      <c r="P126" s="52"/>
    </row>
    <row r="127" spans="2:16" ht="15.75" customHeight="1" x14ac:dyDescent="0.25">
      <c r="H127" s="52"/>
      <c r="I127" s="52"/>
      <c r="J127" s="52"/>
      <c r="K127" s="52"/>
      <c r="L127" s="52"/>
      <c r="M127" s="52"/>
      <c r="N127" s="52"/>
      <c r="O127" s="52"/>
      <c r="P127" s="52"/>
    </row>
    <row r="128" spans="2:16" ht="32.25" customHeight="1" x14ac:dyDescent="0.25">
      <c r="H128" s="52"/>
      <c r="I128" s="52"/>
      <c r="J128" s="52"/>
      <c r="K128" s="52"/>
      <c r="L128" s="52"/>
      <c r="M128" s="52"/>
      <c r="N128" s="52"/>
      <c r="O128" s="52"/>
      <c r="P128" s="52"/>
    </row>
    <row r="129" spans="8:16" x14ac:dyDescent="0.25">
      <c r="H129" s="52"/>
      <c r="I129" s="52"/>
      <c r="J129" s="52"/>
      <c r="K129" s="52"/>
      <c r="L129" s="52"/>
      <c r="M129" s="52"/>
      <c r="N129" s="52"/>
      <c r="O129" s="52"/>
      <c r="P129" s="52"/>
    </row>
    <row r="130" spans="8:16" ht="18" customHeight="1" x14ac:dyDescent="0.25">
      <c r="H130" s="52"/>
      <c r="I130" s="52"/>
      <c r="J130" s="52"/>
      <c r="K130" s="52"/>
      <c r="L130" s="52"/>
      <c r="M130" s="52"/>
      <c r="N130" s="52"/>
      <c r="O130" s="52"/>
      <c r="P130" s="52"/>
    </row>
    <row r="131" spans="8:16" ht="15"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x14ac:dyDescent="0.25">
      <c r="H138" s="52"/>
      <c r="I138" s="52"/>
      <c r="J138" s="52"/>
      <c r="K138" s="52"/>
      <c r="L138" s="52"/>
      <c r="M138" s="52"/>
      <c r="N138" s="52"/>
      <c r="O138" s="52"/>
      <c r="P138" s="52"/>
    </row>
    <row r="139" spans="8:16" ht="15.75" customHeight="1"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41.25" customHeight="1" x14ac:dyDescent="0.25">
      <c r="H141" s="52"/>
      <c r="I141" s="52"/>
      <c r="J141" s="52"/>
      <c r="K141" s="52"/>
      <c r="L141" s="52"/>
      <c r="M141" s="52"/>
      <c r="N141" s="52"/>
      <c r="O141" s="52"/>
      <c r="P141" s="52"/>
    </row>
    <row r="142" spans="8:16" ht="15.7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47.25" customHeight="1" x14ac:dyDescent="0.25">
      <c r="H144" s="52"/>
      <c r="I144" s="52"/>
      <c r="J144" s="52"/>
      <c r="K144" s="52"/>
      <c r="L144" s="52"/>
      <c r="M144" s="52"/>
      <c r="N144" s="52"/>
      <c r="O144" s="52"/>
      <c r="P144" s="52"/>
    </row>
    <row r="145" spans="8:16" x14ac:dyDescent="0.25">
      <c r="H145" s="52"/>
      <c r="I145" s="52"/>
      <c r="J145" s="52"/>
      <c r="K145" s="52"/>
      <c r="L145" s="52"/>
      <c r="M145" s="52"/>
      <c r="N145" s="52"/>
      <c r="O145" s="52"/>
      <c r="P145" s="52"/>
    </row>
    <row r="146" spans="8:16" ht="15.75" customHeight="1"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31.5" customHeight="1" x14ac:dyDescent="0.25">
      <c r="H149" s="52"/>
      <c r="I149" s="52"/>
      <c r="J149" s="52"/>
      <c r="K149" s="52"/>
      <c r="L149" s="52"/>
      <c r="M149" s="52"/>
      <c r="N149" s="52"/>
      <c r="O149" s="52"/>
      <c r="P149" s="52"/>
    </row>
    <row r="150" spans="8:16" ht="15.75" customHeight="1" x14ac:dyDescent="0.25">
      <c r="H150" s="52"/>
      <c r="I150" s="52"/>
      <c r="J150" s="52"/>
      <c r="K150" s="52"/>
      <c r="L150" s="52"/>
      <c r="M150" s="52"/>
      <c r="N150" s="52"/>
      <c r="O150" s="52"/>
      <c r="P150" s="52"/>
    </row>
    <row r="151" spans="8:16" ht="1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75" customHeight="1" x14ac:dyDescent="0.25">
      <c r="H154" s="52"/>
      <c r="I154" s="52"/>
      <c r="J154" s="52"/>
      <c r="K154" s="52"/>
      <c r="L154" s="52"/>
      <c r="M154" s="52"/>
      <c r="N154" s="52"/>
      <c r="O154" s="52"/>
      <c r="P154" s="52"/>
    </row>
    <row r="155" spans="8:16" x14ac:dyDescent="0.25">
      <c r="H155" s="52"/>
      <c r="I155" s="52"/>
      <c r="J155" s="52"/>
      <c r="K155" s="52"/>
      <c r="L155" s="52"/>
      <c r="M155" s="52"/>
      <c r="N155" s="52"/>
      <c r="O155" s="52"/>
      <c r="P155" s="52"/>
    </row>
    <row r="156" spans="8:16" ht="15.75" customHeight="1" x14ac:dyDescent="0.25">
      <c r="H156" s="52"/>
      <c r="I156" s="52"/>
      <c r="J156" s="52"/>
      <c r="K156" s="52"/>
      <c r="L156" s="52"/>
      <c r="M156" s="52"/>
      <c r="N156" s="52"/>
      <c r="O156" s="52"/>
      <c r="P156" s="52"/>
    </row>
    <row r="157" spans="8:16"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ht="15.75" customHeight="1"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x14ac:dyDescent="0.25">
      <c r="H163" s="52"/>
      <c r="I163" s="52"/>
      <c r="J163" s="52"/>
      <c r="K163" s="52"/>
      <c r="L163" s="52"/>
      <c r="M163" s="52"/>
      <c r="N163" s="52"/>
      <c r="O163" s="52"/>
      <c r="P163" s="52"/>
    </row>
    <row r="164" spans="8:16" ht="15.75" customHeight="1" x14ac:dyDescent="0.25">
      <c r="H164" s="52"/>
      <c r="I164" s="52"/>
      <c r="J164" s="52"/>
      <c r="K164" s="52"/>
      <c r="L164" s="52"/>
      <c r="M164" s="52"/>
      <c r="N164" s="52"/>
      <c r="O164" s="52"/>
      <c r="P164" s="52"/>
    </row>
    <row r="165" spans="8:16"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ht="15.75" customHeight="1" x14ac:dyDescent="0.25">
      <c r="H168" s="52"/>
      <c r="I168" s="52"/>
      <c r="J168" s="52"/>
      <c r="K168" s="52"/>
      <c r="L168" s="52"/>
      <c r="M168" s="52"/>
      <c r="N168" s="52"/>
      <c r="O168" s="52"/>
      <c r="P168" s="52"/>
    </row>
    <row r="169" spans="8:16" x14ac:dyDescent="0.25">
      <c r="H169" s="52"/>
      <c r="I169" s="52"/>
      <c r="J169" s="52"/>
      <c r="K169" s="52"/>
      <c r="L169" s="52"/>
      <c r="M169" s="52"/>
      <c r="N169" s="52"/>
      <c r="O169" s="52"/>
      <c r="P169" s="52"/>
    </row>
    <row r="170" spans="8:16" ht="15.75" customHeight="1"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ht="15.75" customHeight="1"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x14ac:dyDescent="0.25">
      <c r="H176" s="52"/>
      <c r="I176" s="52"/>
      <c r="J176" s="52"/>
      <c r="K176" s="52"/>
      <c r="L176" s="52"/>
      <c r="M176" s="52"/>
      <c r="N176" s="52"/>
      <c r="O176" s="52"/>
      <c r="P176" s="52"/>
    </row>
    <row r="177" spans="8:16" ht="16.5" customHeight="1" x14ac:dyDescent="0.25">
      <c r="H177" s="52"/>
      <c r="I177" s="52"/>
      <c r="J177" s="52"/>
      <c r="K177" s="52"/>
      <c r="L177" s="52"/>
      <c r="M177" s="52"/>
      <c r="N177" s="52"/>
      <c r="O177" s="52"/>
      <c r="P177" s="52"/>
    </row>
    <row r="178" spans="8:16" x14ac:dyDescent="0.25">
      <c r="H178" s="52"/>
      <c r="I178" s="52"/>
      <c r="J178" s="52"/>
      <c r="K178" s="52"/>
      <c r="L178" s="52"/>
      <c r="M178" s="52"/>
      <c r="N178" s="52"/>
      <c r="O178" s="52"/>
      <c r="P178" s="52"/>
    </row>
    <row r="179" spans="8:16" ht="15.75" customHeight="1" x14ac:dyDescent="0.25">
      <c r="H179" s="52"/>
      <c r="I179" s="52"/>
      <c r="J179" s="52"/>
      <c r="K179" s="52"/>
      <c r="L179" s="52"/>
      <c r="M179" s="52"/>
      <c r="N179" s="52"/>
      <c r="O179" s="52"/>
      <c r="P179" s="52"/>
    </row>
    <row r="180" spans="8:16"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ht="15" customHeight="1"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232" spans="21:21" x14ac:dyDescent="0.25">
      <c r="U232" s="1" t="s">
        <v>67</v>
      </c>
    </row>
  </sheetData>
  <sheetProtection algorithmName="SHA-512" hashValue="hJI9mggLD7lf1TLy02F8FPDlxpJBv2dTP66cov6NXU3fXO4ujTVpPZaTXFvv2XJBMssp8OvWNmP9uF3I7d1Jfw==" saltValue="K0cpOcWuPcfQ/lYrmO6JGQ==" spinCount="100000" sheet="1" objects="1" scenarios="1"/>
  <dataConsolidate/>
  <mergeCells count="172">
    <mergeCell ref="B59:D70"/>
    <mergeCell ref="B71:D71"/>
    <mergeCell ref="B72:D72"/>
    <mergeCell ref="B73:D73"/>
    <mergeCell ref="B6:D7"/>
    <mergeCell ref="B8:D8"/>
    <mergeCell ref="B9:D9"/>
    <mergeCell ref="B2:D2"/>
    <mergeCell ref="C3:D3"/>
    <mergeCell ref="B74:D79"/>
    <mergeCell ref="B80:D88"/>
    <mergeCell ref="F74:G74"/>
    <mergeCell ref="F78:G78"/>
    <mergeCell ref="F75:G75"/>
    <mergeCell ref="F79:G79"/>
    <mergeCell ref="F80:G80"/>
    <mergeCell ref="S72:T72"/>
    <mergeCell ref="S73:T73"/>
    <mergeCell ref="S74:T74"/>
    <mergeCell ref="S77:V77"/>
    <mergeCell ref="U72:V72"/>
    <mergeCell ref="U73:V73"/>
    <mergeCell ref="V82:V83"/>
    <mergeCell ref="V80:V81"/>
    <mergeCell ref="V78:V79"/>
    <mergeCell ref="T82:U83"/>
    <mergeCell ref="T80:U81"/>
    <mergeCell ref="T78:U79"/>
    <mergeCell ref="S82:S83"/>
    <mergeCell ref="S80:S81"/>
    <mergeCell ref="S78:S79"/>
    <mergeCell ref="S75:T75"/>
    <mergeCell ref="F47:G47"/>
    <mergeCell ref="F51:G51"/>
    <mergeCell ref="F48:G48"/>
    <mergeCell ref="F54:G54"/>
    <mergeCell ref="S51:V52"/>
    <mergeCell ref="S48:V50"/>
    <mergeCell ref="S47:T47"/>
    <mergeCell ref="U47:V47"/>
    <mergeCell ref="F49:G49"/>
    <mergeCell ref="F50:P50"/>
    <mergeCell ref="S70:T70"/>
    <mergeCell ref="S67:T67"/>
    <mergeCell ref="S55:T55"/>
    <mergeCell ref="U70:V70"/>
    <mergeCell ref="U71:V71"/>
    <mergeCell ref="B51:D51"/>
    <mergeCell ref="B52:D52"/>
    <mergeCell ref="F55:G55"/>
    <mergeCell ref="F56:P56"/>
    <mergeCell ref="F57:G57"/>
    <mergeCell ref="F58:G58"/>
    <mergeCell ref="F59:G59"/>
    <mergeCell ref="F60:G60"/>
    <mergeCell ref="F61:G61"/>
    <mergeCell ref="F62:G62"/>
    <mergeCell ref="F63:G63"/>
    <mergeCell ref="F52:G52"/>
    <mergeCell ref="F53:G53"/>
    <mergeCell ref="S53:V53"/>
    <mergeCell ref="S54:V54"/>
    <mergeCell ref="S71:T71"/>
    <mergeCell ref="S65:T65"/>
    <mergeCell ref="B53:D54"/>
    <mergeCell ref="B58:D58"/>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37:U37"/>
    <mergeCell ref="S38:U38"/>
    <mergeCell ref="F39:G39"/>
    <mergeCell ref="S39:U39"/>
    <mergeCell ref="F34:G34"/>
    <mergeCell ref="S34:T34"/>
    <mergeCell ref="F35:G35"/>
    <mergeCell ref="S35:T35"/>
    <mergeCell ref="F36:G36"/>
    <mergeCell ref="S36:U36"/>
    <mergeCell ref="F37:G37"/>
    <mergeCell ref="F38:P38"/>
    <mergeCell ref="F32:P32"/>
    <mergeCell ref="S31:T31"/>
    <mergeCell ref="S32:T32"/>
    <mergeCell ref="F33:G33"/>
    <mergeCell ref="S33:T33"/>
    <mergeCell ref="F28:G28"/>
    <mergeCell ref="S28:T28"/>
    <mergeCell ref="F29:G29"/>
    <mergeCell ref="S29:T29"/>
    <mergeCell ref="F30:G30"/>
    <mergeCell ref="S30:T30"/>
    <mergeCell ref="F31:G31"/>
    <mergeCell ref="F25:P25"/>
    <mergeCell ref="S25:T25"/>
    <mergeCell ref="F26:G26"/>
    <mergeCell ref="S26:T26"/>
    <mergeCell ref="F27:G27"/>
    <mergeCell ref="S27:T27"/>
    <mergeCell ref="F22:P22"/>
    <mergeCell ref="S22:T22"/>
    <mergeCell ref="F23:G23"/>
    <mergeCell ref="S23:T23"/>
    <mergeCell ref="F24:G24"/>
    <mergeCell ref="S24:T24"/>
    <mergeCell ref="S12:T12"/>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M5:N5"/>
    <mergeCell ref="O5:P5"/>
    <mergeCell ref="F6:P7"/>
    <mergeCell ref="S6:V7"/>
    <mergeCell ref="F9:P9"/>
    <mergeCell ref="N1:P1"/>
    <mergeCell ref="R1:S1"/>
    <mergeCell ref="N2:P2"/>
    <mergeCell ref="R2:S2"/>
    <mergeCell ref="N3:P3"/>
    <mergeCell ref="R3:S3"/>
    <mergeCell ref="F10:G10"/>
    <mergeCell ref="S10:T10"/>
    <mergeCell ref="F11:G11"/>
    <mergeCell ref="S11:T11"/>
    <mergeCell ref="F87:G87"/>
    <mergeCell ref="F64:G64"/>
    <mergeCell ref="F65:G65"/>
    <mergeCell ref="F66:G66"/>
    <mergeCell ref="F67:G67"/>
    <mergeCell ref="F68:G68"/>
    <mergeCell ref="F69:P69"/>
    <mergeCell ref="F76:G76"/>
    <mergeCell ref="F77:P77"/>
    <mergeCell ref="F82:G82"/>
    <mergeCell ref="F86:G86"/>
    <mergeCell ref="F70:G70"/>
    <mergeCell ref="F71:G71"/>
    <mergeCell ref="F72:G72"/>
    <mergeCell ref="F73:G73"/>
    <mergeCell ref="F81:G81"/>
    <mergeCell ref="F85:G85"/>
    <mergeCell ref="F84:G84"/>
    <mergeCell ref="F83:P83"/>
    <mergeCell ref="F12:G12"/>
  </mergeCells>
  <phoneticPr fontId="61" type="noConversion"/>
  <conditionalFormatting sqref="A6:A50">
    <cfRule type="containsText" dxfId="234" priority="51" operator="containsText" text="n/a">
      <formula>NOT(ISERROR(SEARCH("n/a",A6)))</formula>
    </cfRule>
  </conditionalFormatting>
  <conditionalFormatting sqref="B58:B59">
    <cfRule type="containsText" dxfId="233" priority="27" operator="containsText" text="n/a">
      <formula>NOT(ISERROR(SEARCH("n/a",B58)))</formula>
    </cfRule>
  </conditionalFormatting>
  <conditionalFormatting sqref="B71">
    <cfRule type="containsText" dxfId="232" priority="36" operator="containsText" text="n/a">
      <formula>NOT(ISERROR(SEARCH("n/a",B71)))</formula>
    </cfRule>
  </conditionalFormatting>
  <conditionalFormatting sqref="B73">
    <cfRule type="containsText" dxfId="231" priority="23" operator="containsText" text="n/a">
      <formula>NOT(ISERROR(SEARCH("n/a",B73)))</formula>
    </cfRule>
  </conditionalFormatting>
  <conditionalFormatting sqref="B8">
    <cfRule type="containsText" dxfId="230" priority="60" operator="containsText" text="n/a">
      <formula>NOT(ISERROR(SEARCH("n/a",B8)))</formula>
    </cfRule>
  </conditionalFormatting>
  <conditionalFormatting sqref="B51:B52">
    <cfRule type="containsText" dxfId="229" priority="25" operator="containsText" text="n/a">
      <formula>NOT(ISERROR(SEARCH("n/a",B51)))</formula>
    </cfRule>
  </conditionalFormatting>
  <conditionalFormatting sqref="B55:D55">
    <cfRule type="containsText" dxfId="228" priority="37" operator="containsText" text="n/a">
      <formula>NOT(ISERROR(SEARCH("n/a",B55)))</formula>
    </cfRule>
  </conditionalFormatting>
  <conditionalFormatting sqref="B10:D10">
    <cfRule type="containsText" dxfId="227" priority="59" operator="containsText" text="n/a">
      <formula>NOT(ISERROR(SEARCH("n/a",B10)))</formula>
    </cfRule>
  </conditionalFormatting>
  <conditionalFormatting sqref="C13:D50">
    <cfRule type="containsErrors" dxfId="226" priority="62">
      <formula>ISERROR(C13)</formula>
    </cfRule>
  </conditionalFormatting>
  <conditionalFormatting sqref="F9:F10">
    <cfRule type="containsText" dxfId="225" priority="53" operator="containsText" text="n/a">
      <formula>NOT(ISERROR(SEARCH("n/a",F9)))</formula>
    </cfRule>
  </conditionalFormatting>
  <conditionalFormatting sqref="F21">
    <cfRule type="containsText" dxfId="224" priority="30" operator="containsText" text="n/a">
      <formula>NOT(ISERROR(SEARCH("n/a",F21)))</formula>
    </cfRule>
  </conditionalFormatting>
  <conditionalFormatting sqref="F8:P8">
    <cfRule type="containsText" dxfId="223" priority="54" operator="containsText" text="n/a">
      <formula>NOT(ISERROR(SEARCH("n/a",F8)))</formula>
    </cfRule>
  </conditionalFormatting>
  <conditionalFormatting sqref="H10:P10">
    <cfRule type="containsText" dxfId="222" priority="52" operator="containsText" text="n/a">
      <formula>NOT(ISERROR(SEARCH("n/a",H10)))</formula>
    </cfRule>
  </conditionalFormatting>
  <conditionalFormatting sqref="K11:Q15 H11:J20 K16:O16 Q16:Q21 K17:N20">
    <cfRule type="containsErrors" dxfId="221" priority="63">
      <formula>ISERROR(H11)</formula>
    </cfRule>
  </conditionalFormatting>
  <conditionalFormatting sqref="Q9:Q10 K11:Q15 H11:J20 K16:O16 Q16:Q21 K17:N20">
    <cfRule type="containsText" dxfId="220" priority="61" operator="containsText" text="n/a">
      <formula>NOT(ISERROR(SEARCH("n/a",H9)))</formula>
    </cfRule>
  </conditionalFormatting>
  <conditionalFormatting sqref="S36:S39">
    <cfRule type="containsText" dxfId="219" priority="45" operator="containsText" text="Rate">
      <formula>NOT(ISERROR(SEARCH("Rate",S36)))</formula>
    </cfRule>
    <cfRule type="expression" dxfId="218" priority="46">
      <formula>Output_NetPrice_JM &lt; 99</formula>
    </cfRule>
    <cfRule type="expression" dxfId="217" priority="47">
      <formula>Output_NetPrice_ExpNR &lt; 99</formula>
    </cfRule>
  </conditionalFormatting>
  <conditionalFormatting sqref="S55">
    <cfRule type="containsText" dxfId="216" priority="35" operator="containsText" text="n/a">
      <formula>NOT(ISERROR(SEARCH("n/a",S55)))</formula>
    </cfRule>
  </conditionalFormatting>
  <conditionalFormatting sqref="S65">
    <cfRule type="containsText" dxfId="215" priority="34" operator="containsText" text="n/a">
      <formula>NOT(ISERROR(SEARCH("n/a",S65)))</formula>
    </cfRule>
  </conditionalFormatting>
  <conditionalFormatting sqref="S67">
    <cfRule type="containsText" dxfId="214" priority="33" operator="containsText" text="n/a">
      <formula>NOT(ISERROR(SEARCH("n/a",S67)))</formula>
    </cfRule>
  </conditionalFormatting>
  <conditionalFormatting sqref="S70">
    <cfRule type="containsText" dxfId="213" priority="32" operator="containsText" text="n/a">
      <formula>NOT(ISERROR(SEARCH("n/a",S70)))</formula>
    </cfRule>
  </conditionalFormatting>
  <conditionalFormatting sqref="U70">
    <cfRule type="containsText" dxfId="212" priority="31" operator="containsText" text="n/a">
      <formula>NOT(ISERROR(SEARCH("n/a",U70)))</formula>
    </cfRule>
  </conditionalFormatting>
  <conditionalFormatting sqref="S8:W8">
    <cfRule type="containsText" dxfId="211" priority="55" operator="containsText" text="n/a">
      <formula>NOT(ISERROR(SEARCH("n/a",S8)))</formula>
    </cfRule>
  </conditionalFormatting>
  <conditionalFormatting sqref="U55:V55">
    <cfRule type="containsText" dxfId="210" priority="29" operator="containsText" text="n/a">
      <formula>NOT(ISERROR(SEARCH("n/a",U55)))</formula>
    </cfRule>
  </conditionalFormatting>
  <conditionalFormatting sqref="U62:V62">
    <cfRule type="containsText" dxfId="209" priority="28" operator="containsText" text="n/a">
      <formula>NOT(ISERROR(SEARCH("n/a",U62)))</formula>
    </cfRule>
  </conditionalFormatting>
  <conditionalFormatting sqref="V36:V39">
    <cfRule type="containsText" dxfId="208" priority="48" operator="containsText" text="Rate">
      <formula>NOT(ISERROR(SEARCH("Rate",V36)))</formula>
    </cfRule>
    <cfRule type="expression" dxfId="207" priority="49">
      <formula>Output_NetPrice_JM &lt; 99</formula>
    </cfRule>
    <cfRule type="expression" dxfId="206" priority="50">
      <formula>Output_NetPrice_ExpNR &lt; 99</formula>
    </cfRule>
  </conditionalFormatting>
  <conditionalFormatting sqref="U10">
    <cfRule type="containsText" dxfId="205" priority="20" operator="containsText" text="Rate">
      <formula>NOT(ISERROR(SEARCH("Rate",U10)))</formula>
    </cfRule>
    <cfRule type="expression" dxfId="204" priority="21">
      <formula>Output_NetPrice_JM &lt; 99</formula>
    </cfRule>
    <cfRule type="expression" dxfId="203" priority="22">
      <formula>Output_NetPrice_ExpNR &lt; 99</formula>
    </cfRule>
  </conditionalFormatting>
  <conditionalFormatting sqref="V12:V35">
    <cfRule type="expression" dxfId="202" priority="18">
      <formula>V10&lt;0</formula>
    </cfRule>
    <cfRule type="containsErrors" dxfId="201" priority="19">
      <formula>ISERROR(V12)</formula>
    </cfRule>
  </conditionalFormatting>
  <conditionalFormatting sqref="S77">
    <cfRule type="containsText" dxfId="200" priority="17" operator="containsText" text="n/a">
      <formula>NOT(ISERROR(SEARCH("n/a",S77)))</formula>
    </cfRule>
  </conditionalFormatting>
  <conditionalFormatting sqref="S43:S46">
    <cfRule type="containsText" dxfId="199" priority="14" operator="containsText" text="Rate">
      <formula>NOT(ISERROR(SEARCH("Rate",S43)))</formula>
    </cfRule>
    <cfRule type="expression" dxfId="198" priority="15">
      <formula>Output_NetPrice_JM &lt; 99</formula>
    </cfRule>
    <cfRule type="expression" dxfId="197" priority="16">
      <formula>Output_NetPrice_ExpNR &lt; 99</formula>
    </cfRule>
  </conditionalFormatting>
  <conditionalFormatting sqref="U43:U45">
    <cfRule type="containsText" dxfId="196" priority="11" operator="containsText" text="Rate">
      <formula>NOT(ISERROR(SEARCH("Rate",U43)))</formula>
    </cfRule>
    <cfRule type="expression" dxfId="195" priority="12">
      <formula>Output_NetPrice_JM &lt; 99</formula>
    </cfRule>
    <cfRule type="expression" dxfId="194" priority="13">
      <formula>Output_NetPrice_ExpNR &lt; 99</formula>
    </cfRule>
  </conditionalFormatting>
  <conditionalFormatting sqref="V44:V45">
    <cfRule type="containsText" dxfId="193" priority="8" operator="containsText" text="Rate">
      <formula>NOT(ISERROR(SEARCH("Rate",V44)))</formula>
    </cfRule>
    <cfRule type="expression" dxfId="192" priority="9">
      <formula>Output_NetPrice_JM &lt; 99</formula>
    </cfRule>
    <cfRule type="expression" dxfId="191" priority="10">
      <formula>Output_NetPrice_ExpNR &lt; 99</formula>
    </cfRule>
  </conditionalFormatting>
  <conditionalFormatting sqref="S42">
    <cfRule type="containsText" dxfId="190" priority="5" operator="containsText" text="Rate">
      <formula>NOT(ISERROR(SEARCH("Rate",S42)))</formula>
    </cfRule>
    <cfRule type="expression" dxfId="189" priority="6">
      <formula>Output_NetPrice_JM &lt; 99</formula>
    </cfRule>
    <cfRule type="expression" dxfId="188" priority="7">
      <formula>Output_NetPrice_ExpNR &lt; 99</formula>
    </cfRule>
  </conditionalFormatting>
  <conditionalFormatting sqref="U46">
    <cfRule type="containsText" dxfId="187" priority="2" operator="containsText" text="Rate">
      <formula>NOT(ISERROR(SEARCH("Rate",U46)))</formula>
    </cfRule>
    <cfRule type="expression" dxfId="186" priority="3">
      <formula>Output_NetPrice_JM &lt; 99</formula>
    </cfRule>
    <cfRule type="expression" dxfId="185" priority="4">
      <formula>Output_NetPrice_ExpNR &lt; 99</formula>
    </cfRule>
  </conditionalFormatting>
  <conditionalFormatting sqref="C11:D12">
    <cfRule type="containsErrors" dxfId="184" priority="1">
      <formula>ISERROR(C11)</formula>
    </cfRule>
  </conditionalFormatting>
  <hyperlinks>
    <hyperlink ref="B72:C72" r:id="rId1" display="Click Here" xr:uid="{D99445B9-A24B-4926-AF54-EEC71A99F47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EF8442F4-709F-4FEE-AC12-6372E379F632}">
          <x14:formula1>
            <xm:f>'Feed(WS)'!$N$81:$N$121</xm:f>
          </x14:formula1>
          <xm:sqref>U10</xm:sqref>
        </x14:dataValidation>
        <x14:dataValidation type="list" allowBlank="1" showInputMessage="1" showErrorMessage="1" xr:uid="{CE476173-78BB-4B16-87B2-7EA7578BA3D6}">
          <x14:formula1>
            <xm:f>'Feed(WS)'!$B$2:$B$11</xm:f>
          </x14:formula1>
          <xm:sqref>U11</xm:sqref>
        </x14:dataValidation>
        <x14:dataValidation type="list" allowBlank="1" showInputMessage="1" showErrorMessage="1" xr:uid="{8545A029-538A-4241-9E53-B8D64832B379}">
          <x14:formula1>
            <xm:f>'Feed(WS)'!$A$2:$A$12</xm:f>
          </x14:formula1>
          <xm:sqref>U12</xm:sqref>
        </x14:dataValidation>
        <x14:dataValidation type="list" allowBlank="1" showInputMessage="1" showErrorMessage="1" xr:uid="{3F498590-EC20-47CD-936F-159D8FE50C01}">
          <x14:formula1>
            <xm:f>'Feed(WS)'!$C$14:$C$18</xm:f>
          </x14:formula1>
          <xm:sqref>U14</xm:sqref>
        </x14:dataValidation>
        <x14:dataValidation type="list" allowBlank="1" showInputMessage="1" showErrorMessage="1" xr:uid="{E3AC4A27-ACE3-44E3-A418-F004286C31B7}">
          <x14:formula1>
            <xm:f>'Feed(WS)'!$D$14:$D$20</xm:f>
          </x14:formula1>
          <xm:sqref>U15</xm:sqref>
        </x14:dataValidation>
        <x14:dataValidation type="list" allowBlank="1" showInputMessage="1" showErrorMessage="1" xr:uid="{76CF6F36-BF41-4E3E-B240-5B804BF5E59B}">
          <x14:formula1>
            <xm:f>'Feed(WS)'!$E$14:$E$19</xm:f>
          </x14:formula1>
          <xm:sqref>U16</xm:sqref>
        </x14:dataValidation>
        <x14:dataValidation type="list" allowBlank="1" showInputMessage="1" showErrorMessage="1" xr:uid="{C47DFF1F-A7B7-4732-9C72-55C80D10454D}">
          <x14:formula1>
            <xm:f>'Feed(WS)'!$P$2:$P$6</xm:f>
          </x14:formula1>
          <xm:sqref>U19</xm:sqref>
        </x14:dataValidation>
        <x14:dataValidation type="list" allowBlank="1" showInputMessage="1" showErrorMessage="1" xr:uid="{23ABBCB8-0E19-49D5-A8F8-1C03A0626C5B}">
          <x14:formula1>
            <xm:f>'Feed(WS)'!$L$2:$L$6</xm:f>
          </x14:formula1>
          <xm:sqref>U23</xm:sqref>
        </x14:dataValidation>
        <x14:dataValidation type="list" allowBlank="1" showInputMessage="1" showErrorMessage="1" xr:uid="{80DC5071-4118-4C4A-8C75-FBCD1EF659BA}">
          <x14:formula1>
            <xm:f>'Feed(WS)'!$M$2:$M$13</xm:f>
          </x14:formula1>
          <xm:sqref>U25</xm:sqref>
        </x14:dataValidation>
        <x14:dataValidation type="list" allowBlank="1" showInputMessage="1" showErrorMessage="1" xr:uid="{475B8236-7505-489F-B9D7-E83E2EB23631}">
          <x14:formula1>
            <xm:f>'Feed(WS)'!$I$2:$I$4</xm:f>
          </x14:formula1>
          <xm:sqref>U26</xm:sqref>
        </x14:dataValidation>
        <x14:dataValidation type="list" allowBlank="1" showInputMessage="1" showErrorMessage="1" xr:uid="{69488D9B-F47C-4307-AEBD-ECC9323CF4D8}">
          <x14:formula1>
            <xm:f>'Feed(WS)'!$J$14:$J$16</xm:f>
          </x14:formula1>
          <xm:sqref>U28</xm:sqref>
        </x14:dataValidation>
        <x14:dataValidation type="list" allowBlank="1" showInputMessage="1" showErrorMessage="1" xr:uid="{04BF2227-FE3A-44A0-AECF-14418863562E}">
          <x14:formula1>
            <xm:f>'Feed(WS)'!$T$2:$T$17</xm:f>
          </x14:formula1>
          <xm:sqref>U29</xm:sqref>
        </x14:dataValidation>
        <x14:dataValidation type="list" allowBlank="1" showInputMessage="1" showErrorMessage="1" xr:uid="{855B61CE-92D8-4CC5-B18A-775F2EEE2CE7}">
          <x14:formula1>
            <xm:f>'Feed(WS)'!$N$2:$N$6</xm:f>
          </x14:formula1>
          <xm:sqref>U30</xm:sqref>
        </x14:dataValidation>
        <x14:dataValidation type="list" allowBlank="1" showInputMessage="1" showErrorMessage="1" xr:uid="{1820BCC5-AED9-4F62-BE6B-11872DA26A07}">
          <x14:formula1>
            <xm:f>'Feed(WS)'!$R$2:$R$5</xm:f>
          </x14:formula1>
          <xm:sqref>U31</xm:sqref>
        </x14:dataValidation>
        <x14:dataValidation type="list" allowBlank="1" showInputMessage="1" showErrorMessage="1" xr:uid="{CA2A50EA-CA12-449F-A85C-BEE2985ECA48}">
          <x14:formula1>
            <xm:f>'Feed(WS)'!$S$2:$S$4</xm:f>
          </x14:formula1>
          <xm:sqref>U32</xm:sqref>
        </x14:dataValidation>
        <x14:dataValidation type="list" allowBlank="1" showInputMessage="1" showErrorMessage="1" xr:uid="{C3B1B6BD-9F85-484A-8D31-95EFEE89908D}">
          <x14:formula1>
            <xm:f>'Feed(WS)'!$K$2:$K$9</xm:f>
          </x14:formula1>
          <xm:sqref>U24</xm:sqref>
        </x14:dataValidation>
        <x14:dataValidation type="list" allowBlank="1" showInputMessage="1" showErrorMessage="1" xr:uid="{E469EB4E-551A-4366-9EC9-291BA1454D46}">
          <x14:formula1>
            <xm:f>'Feed(WS)'!$C$3:$C$4</xm:f>
          </x14:formula1>
          <xm:sqref>U13</xm:sqref>
        </x14:dataValidation>
        <x14:dataValidation type="list" allowBlank="1" showInputMessage="1" showErrorMessage="1" xr:uid="{62B8B19D-C007-4518-AD84-71FD03A6AE96}">
          <x14:formula1>
            <xm:f>'Feed(WS)'!$D$2:$D$4</xm:f>
          </x14:formula1>
          <xm:sqref>U17</xm:sqref>
        </x14:dataValidation>
        <x14:dataValidation type="list" allowBlank="1" showInputMessage="1" showErrorMessage="1" xr:uid="{E461506A-0FF6-4D3C-87FA-4EBAD5A37CEF}">
          <x14:formula1>
            <xm:f>'Feed(WS)'!$E$2:$E$8</xm:f>
          </x14:formula1>
          <xm:sqref>U18</xm:sqref>
        </x14:dataValidation>
        <x14:dataValidation type="list" allowBlank="1" showInputMessage="1" showErrorMessage="1" xr:uid="{7E052EB6-80E0-406F-8D06-EDFFBE5F0A2D}">
          <x14:formula1>
            <xm:f>'Feed(WS)'!$F$2:$F$5</xm:f>
          </x14:formula1>
          <xm:sqref>U20</xm:sqref>
        </x14:dataValidation>
        <x14:dataValidation type="list" allowBlank="1" showInputMessage="1" showErrorMessage="1" xr:uid="{F8FD096A-1E3F-4DD2-A377-C162542D3750}">
          <x14:formula1>
            <xm:f>'Feed(WS)'!$J$2:$J$7</xm:f>
          </x14:formula1>
          <xm:sqref>U22</xm:sqref>
        </x14:dataValidation>
        <x14:dataValidation type="list" allowBlank="1" showInputMessage="1" showErrorMessage="1" xr:uid="{C09B7494-95B1-4A7A-A1ED-10CDD5E89B22}">
          <x14:formula1>
            <xm:f>'Feed(WS)'!$H$2:$H$14</xm:f>
          </x14:formula1>
          <xm:sqref>U27</xm:sqref>
        </x14:dataValidation>
        <x14:dataValidation type="list" allowBlank="1" showInputMessage="1" showErrorMessage="1" xr:uid="{9473A2A4-2CDD-4EF3-9870-130B24321D74}">
          <x14:formula1>
            <xm:f>'Feed(WS)'!$T$160:$T$163</xm:f>
          </x14:formula1>
          <xm:sqref>U34</xm:sqref>
        </x14:dataValidation>
        <x14:dataValidation type="list" allowBlank="1" showInputMessage="1" showErrorMessage="1" xr:uid="{F3BA78F3-89E2-4A81-83BB-574F0229C85C}">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7" t="s">
        <v>647</v>
      </c>
      <c r="O1" s="657"/>
      <c r="P1" s="657"/>
      <c r="Q1" s="2"/>
      <c r="R1" s="658"/>
      <c r="S1" s="658"/>
      <c r="T1" s="2"/>
      <c r="U1" s="2"/>
      <c r="V1" s="3"/>
    </row>
    <row r="2" spans="1:25" ht="17.45" customHeight="1" x14ac:dyDescent="0.25">
      <c r="N2" s="659" t="s">
        <v>1</v>
      </c>
      <c r="O2" s="659"/>
      <c r="P2" s="659"/>
      <c r="Q2" s="4"/>
      <c r="R2" s="660"/>
      <c r="S2" s="660"/>
      <c r="T2" s="2"/>
      <c r="U2" s="2"/>
      <c r="V2" s="3"/>
    </row>
    <row r="3" spans="1:25" ht="17.45" customHeight="1" x14ac:dyDescent="0.25">
      <c r="N3" s="659" t="s">
        <v>2</v>
      </c>
      <c r="O3" s="659"/>
      <c r="P3" s="659"/>
      <c r="Q3" s="4"/>
      <c r="R3" s="660"/>
      <c r="S3" s="660"/>
      <c r="T3" s="4"/>
      <c r="U3" s="4"/>
    </row>
    <row r="4" spans="1:25" ht="17.45" customHeight="1" x14ac:dyDescent="0.25">
      <c r="F4" s="5"/>
      <c r="M4" s="6"/>
      <c r="N4" s="7"/>
      <c r="O4" s="7"/>
      <c r="P4" s="7"/>
      <c r="Q4" s="8"/>
      <c r="R4" s="4"/>
      <c r="S4" s="4"/>
      <c r="T4" s="4"/>
      <c r="U4" s="4"/>
    </row>
    <row r="5" spans="1:25" ht="17.45" customHeight="1" thickBot="1" x14ac:dyDescent="0.3">
      <c r="L5" s="9"/>
      <c r="M5" s="661" t="s">
        <v>3</v>
      </c>
      <c r="N5" s="661"/>
      <c r="O5" s="662">
        <v>45869</v>
      </c>
      <c r="P5" s="662"/>
      <c r="Q5" s="8"/>
      <c r="T5" s="3"/>
      <c r="U5" s="3"/>
    </row>
    <row r="6" spans="1:25" ht="17.45" customHeight="1" x14ac:dyDescent="0.25">
      <c r="A6" s="204"/>
      <c r="B6" s="896" t="s">
        <v>4</v>
      </c>
      <c r="C6" s="897"/>
      <c r="D6" s="206"/>
      <c r="E6" s="207"/>
      <c r="F6" s="900" t="s">
        <v>648</v>
      </c>
      <c r="G6" s="901"/>
      <c r="H6" s="901"/>
      <c r="I6" s="901"/>
      <c r="J6" s="901"/>
      <c r="K6" s="901"/>
      <c r="L6" s="901"/>
      <c r="M6" s="901"/>
      <c r="N6" s="901"/>
      <c r="O6" s="901"/>
      <c r="P6" s="902"/>
      <c r="Q6" s="206"/>
      <c r="R6" s="205"/>
      <c r="S6" s="900" t="s">
        <v>5</v>
      </c>
      <c r="T6" s="901"/>
      <c r="U6" s="901"/>
      <c r="V6" s="902"/>
      <c r="W6" s="205"/>
    </row>
    <row r="7" spans="1:25" ht="17.45" customHeight="1" thickBot="1" x14ac:dyDescent="0.3">
      <c r="A7" s="204"/>
      <c r="B7" s="898"/>
      <c r="C7" s="899"/>
      <c r="D7" s="206"/>
      <c r="E7" s="207"/>
      <c r="F7" s="903"/>
      <c r="G7" s="904"/>
      <c r="H7" s="904"/>
      <c r="I7" s="904"/>
      <c r="J7" s="904"/>
      <c r="K7" s="904"/>
      <c r="L7" s="904"/>
      <c r="M7" s="904"/>
      <c r="N7" s="904"/>
      <c r="O7" s="904"/>
      <c r="P7" s="905"/>
      <c r="Q7" s="206"/>
      <c r="R7" s="205"/>
      <c r="S7" s="906"/>
      <c r="T7" s="907"/>
      <c r="U7" s="907"/>
      <c r="V7" s="908"/>
      <c r="W7" s="205"/>
    </row>
    <row r="8" spans="1:25" ht="15.75" customHeight="1" x14ac:dyDescent="0.25">
      <c r="A8" s="204"/>
      <c r="B8" s="261"/>
      <c r="C8" s="262"/>
      <c r="D8" s="205"/>
      <c r="E8" s="205"/>
      <c r="F8" s="261"/>
      <c r="G8" s="263"/>
      <c r="H8" s="263"/>
      <c r="I8" s="263"/>
      <c r="J8" s="263"/>
      <c r="K8" s="263"/>
      <c r="L8" s="263"/>
      <c r="M8" s="263"/>
      <c r="N8" s="263"/>
      <c r="O8" s="263"/>
      <c r="P8" s="262"/>
      <c r="Q8" s="205"/>
      <c r="R8" s="205"/>
      <c r="S8" s="261"/>
      <c r="T8" s="263"/>
      <c r="U8" s="263"/>
      <c r="V8" s="262"/>
      <c r="W8" s="204"/>
    </row>
    <row r="9" spans="1:25" ht="15.75" x14ac:dyDescent="0.25">
      <c r="A9" s="204"/>
      <c r="B9" s="909" t="s">
        <v>6</v>
      </c>
      <c r="C9" s="910"/>
      <c r="D9" s="208"/>
      <c r="E9" s="205"/>
      <c r="F9" s="911" t="s">
        <v>7</v>
      </c>
      <c r="G9" s="912"/>
      <c r="H9" s="912"/>
      <c r="I9" s="912"/>
      <c r="J9" s="912"/>
      <c r="K9" s="912"/>
      <c r="L9" s="912"/>
      <c r="M9" s="912"/>
      <c r="N9" s="912"/>
      <c r="O9" s="912"/>
      <c r="P9" s="913"/>
      <c r="Q9" s="225"/>
      <c r="R9" s="205"/>
      <c r="S9" s="264"/>
      <c r="T9" s="265"/>
      <c r="U9" s="266" t="s">
        <v>8</v>
      </c>
      <c r="V9" s="267"/>
      <c r="W9" s="205"/>
    </row>
    <row r="10" spans="1:25" ht="15.75" customHeight="1" x14ac:dyDescent="0.25">
      <c r="A10" s="204"/>
      <c r="B10" s="285" t="s">
        <v>9</v>
      </c>
      <c r="C10" s="287" t="s">
        <v>10</v>
      </c>
      <c r="D10" s="204"/>
      <c r="E10" s="205"/>
      <c r="F10" s="792" t="s">
        <v>11</v>
      </c>
      <c r="G10" s="793"/>
      <c r="H10" s="286" t="s">
        <v>12</v>
      </c>
      <c r="I10" s="286" t="s">
        <v>13</v>
      </c>
      <c r="J10" s="286" t="s">
        <v>14</v>
      </c>
      <c r="K10" s="286" t="s">
        <v>15</v>
      </c>
      <c r="L10" s="286" t="s">
        <v>16</v>
      </c>
      <c r="M10" s="286" t="s">
        <v>17</v>
      </c>
      <c r="N10" s="286" t="s">
        <v>18</v>
      </c>
      <c r="O10" s="286" t="s">
        <v>19</v>
      </c>
      <c r="P10" s="287" t="s">
        <v>20</v>
      </c>
      <c r="Q10" s="226"/>
      <c r="R10" s="205"/>
      <c r="S10" s="780" t="s">
        <v>21</v>
      </c>
      <c r="T10" s="781"/>
      <c r="U10" s="14" t="s">
        <v>31</v>
      </c>
      <c r="V10" s="201"/>
      <c r="W10" s="205"/>
    </row>
    <row r="11" spans="1:25" ht="14.25" customHeight="1" x14ac:dyDescent="0.25">
      <c r="A11" s="204"/>
      <c r="B11" s="288">
        <v>6.25</v>
      </c>
      <c r="C11" s="434">
        <v>98.688000000000002</v>
      </c>
      <c r="D11" s="209"/>
      <c r="E11" s="205"/>
      <c r="F11" s="767" t="s">
        <v>22</v>
      </c>
      <c r="G11" s="768">
        <v>0</v>
      </c>
      <c r="H11" s="15">
        <v>0.625</v>
      </c>
      <c r="I11" s="15">
        <v>0.5</v>
      </c>
      <c r="J11" s="15">
        <v>0.5</v>
      </c>
      <c r="K11" s="15">
        <v>0.5</v>
      </c>
      <c r="L11" s="15">
        <v>0.375</v>
      </c>
      <c r="M11" s="15">
        <v>0.125</v>
      </c>
      <c r="N11" s="15">
        <v>-0.125</v>
      </c>
      <c r="O11" s="15">
        <v>-1.75</v>
      </c>
      <c r="P11" s="16">
        <v>-3.25</v>
      </c>
      <c r="Q11" s="227"/>
      <c r="R11" s="205"/>
      <c r="S11" s="769" t="s">
        <v>23</v>
      </c>
      <c r="T11" s="770"/>
      <c r="U11" s="17" t="s">
        <v>31</v>
      </c>
      <c r="V11" s="201"/>
      <c r="W11" s="205"/>
      <c r="X11" s="18"/>
      <c r="Y11" s="18"/>
    </row>
    <row r="12" spans="1:25" x14ac:dyDescent="0.25">
      <c r="A12" s="204"/>
      <c r="B12" s="288">
        <v>6.375</v>
      </c>
      <c r="C12" s="434">
        <v>99.188000000000002</v>
      </c>
      <c r="D12" s="209"/>
      <c r="E12" s="205"/>
      <c r="F12" s="767" t="s">
        <v>24</v>
      </c>
      <c r="G12" s="768">
        <v>0</v>
      </c>
      <c r="H12" s="19">
        <v>0.5</v>
      </c>
      <c r="I12" s="19">
        <v>0.5</v>
      </c>
      <c r="J12" s="15">
        <v>0.5</v>
      </c>
      <c r="K12" s="19">
        <v>0.375</v>
      </c>
      <c r="L12" s="19">
        <v>0.25</v>
      </c>
      <c r="M12" s="19">
        <v>0</v>
      </c>
      <c r="N12" s="19">
        <v>-0.375</v>
      </c>
      <c r="O12" s="19">
        <v>-2</v>
      </c>
      <c r="P12" s="20">
        <v>-3.5</v>
      </c>
      <c r="Q12" s="227"/>
      <c r="R12" s="205"/>
      <c r="S12" s="769" t="s">
        <v>25</v>
      </c>
      <c r="T12" s="770"/>
      <c r="U12" s="17" t="s">
        <v>31</v>
      </c>
      <c r="V12" s="201" t="b">
        <f>IF(ISNUMBER(MATCH($U$11,'Feed(WS)'!$B$3:$B$11,0)),
   INDEX($H$11:$P$20,MATCH($U$12,$F$11:$F$20,0),MATCH($U$11,$H$10:$P$10,0)))</f>
        <v>0</v>
      </c>
      <c r="W12" s="205"/>
      <c r="X12" s="18"/>
      <c r="Y12" s="18"/>
    </row>
    <row r="13" spans="1:25" ht="15.75" customHeight="1" x14ac:dyDescent="0.25">
      <c r="A13" s="204"/>
      <c r="B13" s="195">
        <v>6.4989999999999997</v>
      </c>
      <c r="C13" s="21">
        <v>99.625</v>
      </c>
      <c r="D13" s="210"/>
      <c r="E13" s="205"/>
      <c r="F13" s="767" t="s">
        <v>26</v>
      </c>
      <c r="G13" s="768">
        <v>0</v>
      </c>
      <c r="H13" s="19">
        <v>0.5</v>
      </c>
      <c r="I13" s="19">
        <v>0.375</v>
      </c>
      <c r="J13" s="15">
        <v>0.375</v>
      </c>
      <c r="K13" s="19">
        <v>0.25</v>
      </c>
      <c r="L13" s="19">
        <v>0</v>
      </c>
      <c r="M13" s="19">
        <v>-0.375</v>
      </c>
      <c r="N13" s="19">
        <v>-0.5</v>
      </c>
      <c r="O13" s="19">
        <v>-2.25</v>
      </c>
      <c r="P13" s="20">
        <v>-3.75</v>
      </c>
      <c r="Q13" s="227"/>
      <c r="R13" s="205"/>
      <c r="S13" s="769" t="s">
        <v>27</v>
      </c>
      <c r="T13" s="770"/>
      <c r="U13" s="17" t="s">
        <v>28</v>
      </c>
      <c r="V13" s="201" t="e">
        <f>IF(OR($U$11="", $U$13=""), "",
   INDEX($H$23:$P$24,
         MATCH($U$13,$F$23:$F$24,0),
         MATCH($U$11,$H$10:$P$10,0)))</f>
        <v>#N/A</v>
      </c>
      <c r="W13" s="205"/>
      <c r="X13" s="18"/>
      <c r="Y13" s="18"/>
    </row>
    <row r="14" spans="1:25" ht="15.75" customHeight="1" x14ac:dyDescent="0.25">
      <c r="A14" s="204"/>
      <c r="B14" s="195">
        <v>6.625</v>
      </c>
      <c r="C14" s="21">
        <v>100.023</v>
      </c>
      <c r="D14" s="210"/>
      <c r="E14" s="205"/>
      <c r="F14" s="767" t="s">
        <v>29</v>
      </c>
      <c r="G14" s="768">
        <v>0</v>
      </c>
      <c r="H14" s="19">
        <v>0.375</v>
      </c>
      <c r="I14" s="19">
        <v>0.25</v>
      </c>
      <c r="J14" s="15">
        <v>0.25</v>
      </c>
      <c r="K14" s="19">
        <v>0</v>
      </c>
      <c r="L14" s="19">
        <v>-0.375</v>
      </c>
      <c r="M14" s="19">
        <v>-0.5</v>
      </c>
      <c r="N14" s="19">
        <v>-1</v>
      </c>
      <c r="O14" s="19">
        <v>-2.75</v>
      </c>
      <c r="P14" s="20">
        <v>-4.25</v>
      </c>
      <c r="Q14" s="227"/>
      <c r="R14" s="205"/>
      <c r="S14" s="769" t="s">
        <v>30</v>
      </c>
      <c r="T14" s="770"/>
      <c r="U14" s="17" t="s">
        <v>31</v>
      </c>
      <c r="V14" s="201">
        <f>'Feed(WS)'!$O$168</f>
        <v>0</v>
      </c>
      <c r="W14" s="205"/>
      <c r="X14" s="18"/>
      <c r="Y14" s="18"/>
    </row>
    <row r="15" spans="1:25" x14ac:dyDescent="0.25">
      <c r="A15" s="204"/>
      <c r="B15" s="195">
        <v>6.75</v>
      </c>
      <c r="C15" s="21">
        <v>100.414</v>
      </c>
      <c r="D15" s="210"/>
      <c r="E15" s="205"/>
      <c r="F15" s="767" t="s">
        <v>32</v>
      </c>
      <c r="G15" s="768">
        <v>0</v>
      </c>
      <c r="H15" s="19">
        <v>0.25</v>
      </c>
      <c r="I15" s="19">
        <v>0</v>
      </c>
      <c r="J15" s="15">
        <v>0</v>
      </c>
      <c r="K15" s="19">
        <v>-0.375</v>
      </c>
      <c r="L15" s="19">
        <v>-0.5</v>
      </c>
      <c r="M15" s="19">
        <v>-1</v>
      </c>
      <c r="N15" s="19">
        <v>-1.5</v>
      </c>
      <c r="O15" s="19">
        <v>-3.5</v>
      </c>
      <c r="P15" s="20">
        <v>-5</v>
      </c>
      <c r="Q15" s="227"/>
      <c r="R15" s="205"/>
      <c r="S15" s="769" t="s">
        <v>33</v>
      </c>
      <c r="T15" s="770"/>
      <c r="U15" s="17" t="s">
        <v>34</v>
      </c>
      <c r="V15" s="201" t="e">
        <f>IF(OR($U$11="", $U$15=""), "",
   INDEX($H$76:$P$80,
         MATCH($U$15,$F$76:$F$80,0),
         MATCH($U$11,$H$10:$P$10,0)))</f>
        <v>#N/A</v>
      </c>
      <c r="W15" s="205"/>
      <c r="X15" s="18"/>
      <c r="Y15" s="18"/>
    </row>
    <row r="16" spans="1:25" ht="14.25" customHeight="1" x14ac:dyDescent="0.25">
      <c r="A16" s="204"/>
      <c r="B16" s="195">
        <v>6.875</v>
      </c>
      <c r="C16" s="21">
        <v>100.797</v>
      </c>
      <c r="D16" s="210"/>
      <c r="E16" s="205"/>
      <c r="F16" s="767" t="s">
        <v>35</v>
      </c>
      <c r="G16" s="768">
        <v>0</v>
      </c>
      <c r="H16" s="19">
        <v>0</v>
      </c>
      <c r="I16" s="19">
        <v>-0.375</v>
      </c>
      <c r="J16" s="15">
        <v>-0.375</v>
      </c>
      <c r="K16" s="19">
        <v>-0.5</v>
      </c>
      <c r="L16" s="19">
        <v>-1</v>
      </c>
      <c r="M16" s="19">
        <v>-1.5</v>
      </c>
      <c r="N16" s="19">
        <v>-2.5</v>
      </c>
      <c r="O16" s="19">
        <v>-4.5</v>
      </c>
      <c r="P16" s="197" t="s">
        <v>642</v>
      </c>
      <c r="Q16" s="227"/>
      <c r="R16" s="205"/>
      <c r="S16" s="769" t="s">
        <v>36</v>
      </c>
      <c r="T16" s="770"/>
      <c r="U16" s="17" t="s">
        <v>37</v>
      </c>
      <c r="V16" s="201">
        <f>IF(OR($U$11="", $U$16="", $U$16="NONE"),0,
   INDEX($H$82:$P$85,
         MATCH($U$16,$F$82:$F$85,0),
         MATCH($U$11,$H$10:$P$10,0)))</f>
        <v>0</v>
      </c>
      <c r="W16" s="205"/>
      <c r="X16" s="18"/>
      <c r="Y16" s="18"/>
    </row>
    <row r="17" spans="1:25" x14ac:dyDescent="0.25">
      <c r="A17" s="204"/>
      <c r="B17" s="195">
        <v>6.9989999999999997</v>
      </c>
      <c r="C17" s="21">
        <v>101.172</v>
      </c>
      <c r="D17" s="210"/>
      <c r="E17" s="205"/>
      <c r="F17" s="767" t="s">
        <v>38</v>
      </c>
      <c r="G17" s="768">
        <v>0</v>
      </c>
      <c r="H17" s="19">
        <v>-0.5</v>
      </c>
      <c r="I17" s="19">
        <v>-0.5</v>
      </c>
      <c r="J17" s="15">
        <v>-0.5</v>
      </c>
      <c r="K17" s="19">
        <v>-1</v>
      </c>
      <c r="L17" s="19">
        <v>-1.5</v>
      </c>
      <c r="M17" s="19">
        <v>-2.25</v>
      </c>
      <c r="N17" s="19">
        <v>-3.25</v>
      </c>
      <c r="O17" s="198" t="s">
        <v>642</v>
      </c>
      <c r="P17" s="197" t="s">
        <v>642</v>
      </c>
      <c r="Q17" s="227"/>
      <c r="R17" s="205"/>
      <c r="S17" s="769" t="s">
        <v>39</v>
      </c>
      <c r="T17" s="770"/>
      <c r="U17" s="17" t="s">
        <v>31</v>
      </c>
      <c r="V17" s="201">
        <v>0</v>
      </c>
      <c r="W17" s="205"/>
      <c r="X17" s="18"/>
      <c r="Y17" s="18"/>
    </row>
    <row r="18" spans="1:25" x14ac:dyDescent="0.25">
      <c r="A18" s="204"/>
      <c r="B18" s="195">
        <v>7.125</v>
      </c>
      <c r="C18" s="21">
        <v>101.539</v>
      </c>
      <c r="D18" s="210"/>
      <c r="E18" s="205"/>
      <c r="F18" s="767" t="s">
        <v>40</v>
      </c>
      <c r="G18" s="768">
        <v>0</v>
      </c>
      <c r="H18" s="19">
        <v>-1</v>
      </c>
      <c r="I18" s="19">
        <v>-1.25</v>
      </c>
      <c r="J18" s="15">
        <v>-1.25</v>
      </c>
      <c r="K18" s="19">
        <v>-1.75</v>
      </c>
      <c r="L18" s="19">
        <v>-2.25</v>
      </c>
      <c r="M18" s="19">
        <v>-3.25</v>
      </c>
      <c r="N18" s="19">
        <v>-4.25</v>
      </c>
      <c r="O18" s="198" t="s">
        <v>642</v>
      </c>
      <c r="P18" s="197" t="s">
        <v>642</v>
      </c>
      <c r="Q18" s="227"/>
      <c r="R18" s="205"/>
      <c r="S18" s="769" t="s">
        <v>41</v>
      </c>
      <c r="T18" s="770"/>
      <c r="U18" s="17" t="s">
        <v>31</v>
      </c>
      <c r="V18" s="201" t="e">
        <f>IF(OR($U$11="", $U$18="", $U$18="None in this Dropdown"),0,
   INDEX($H$26:$P$30,
         MATCH($U$18,$F$26:$F$30,0),
         MATCH($U$11,$H$10:$P$10,0)))</f>
        <v>#N/A</v>
      </c>
      <c r="W18" s="205"/>
      <c r="X18" s="18"/>
      <c r="Y18" s="18"/>
    </row>
    <row r="19" spans="1:25" ht="15.75" customHeight="1" x14ac:dyDescent="0.25">
      <c r="A19" s="204"/>
      <c r="B19" s="195">
        <v>7.25</v>
      </c>
      <c r="C19" s="21">
        <v>101.898</v>
      </c>
      <c r="D19" s="210"/>
      <c r="E19" s="205"/>
      <c r="F19" s="767" t="s">
        <v>42</v>
      </c>
      <c r="G19" s="768">
        <v>0</v>
      </c>
      <c r="H19" s="19">
        <v>-1.75</v>
      </c>
      <c r="I19" s="19">
        <v>-2</v>
      </c>
      <c r="J19" s="15">
        <v>-2</v>
      </c>
      <c r="K19" s="19">
        <v>-2.5</v>
      </c>
      <c r="L19" s="19">
        <v>-3</v>
      </c>
      <c r="M19" s="19">
        <v>-4.25</v>
      </c>
      <c r="N19" s="19">
        <v>-5.25</v>
      </c>
      <c r="O19" s="198" t="s">
        <v>642</v>
      </c>
      <c r="P19" s="197" t="s">
        <v>642</v>
      </c>
      <c r="Q19" s="227"/>
      <c r="R19" s="205"/>
      <c r="S19" s="769" t="s">
        <v>43</v>
      </c>
      <c r="T19" s="770"/>
      <c r="U19" s="17" t="s">
        <v>31</v>
      </c>
      <c r="V19" s="201">
        <f>'Feed(WS)'!$R$163</f>
        <v>0</v>
      </c>
      <c r="W19" s="205"/>
      <c r="X19" s="18"/>
      <c r="Y19" s="18"/>
    </row>
    <row r="20" spans="1:25" ht="15.75" customHeight="1" x14ac:dyDescent="0.25">
      <c r="A20" s="204"/>
      <c r="B20" s="195">
        <v>7.375</v>
      </c>
      <c r="C20" s="21">
        <v>102.25</v>
      </c>
      <c r="D20" s="210"/>
      <c r="E20" s="205"/>
      <c r="F20" s="767" t="s">
        <v>44</v>
      </c>
      <c r="G20" s="768">
        <v>0</v>
      </c>
      <c r="H20" s="19">
        <v>-2.5</v>
      </c>
      <c r="I20" s="19">
        <v>-2.75</v>
      </c>
      <c r="J20" s="15">
        <v>-2.75</v>
      </c>
      <c r="K20" s="19">
        <v>-3.25</v>
      </c>
      <c r="L20" s="19">
        <v>-3.75</v>
      </c>
      <c r="M20" s="19">
        <v>-5.25</v>
      </c>
      <c r="N20" s="19">
        <v>-6.25</v>
      </c>
      <c r="O20" s="198" t="s">
        <v>642</v>
      </c>
      <c r="P20" s="197" t="s">
        <v>642</v>
      </c>
      <c r="Q20" s="227"/>
      <c r="R20" s="205"/>
      <c r="S20" s="769" t="s">
        <v>45</v>
      </c>
      <c r="T20" s="770"/>
      <c r="U20" s="17" t="s">
        <v>31</v>
      </c>
      <c r="V20" s="201">
        <f>'Feed(WS)'!$Q$163</f>
        <v>0</v>
      </c>
      <c r="W20" s="205"/>
      <c r="X20" s="18"/>
      <c r="Y20" s="18"/>
    </row>
    <row r="21" spans="1:25" ht="15.75" customHeight="1" x14ac:dyDescent="0.25">
      <c r="A21" s="204"/>
      <c r="B21" s="195">
        <v>7.4989999999999997</v>
      </c>
      <c r="C21" s="21">
        <v>102.593</v>
      </c>
      <c r="D21" s="210"/>
      <c r="E21" s="205"/>
      <c r="F21" s="777"/>
      <c r="G21" s="778"/>
      <c r="H21" s="778"/>
      <c r="I21" s="778"/>
      <c r="J21" s="778"/>
      <c r="K21" s="778"/>
      <c r="L21" s="778"/>
      <c r="M21" s="778"/>
      <c r="N21" s="778"/>
      <c r="O21" s="778"/>
      <c r="P21" s="779"/>
      <c r="Q21" s="227"/>
      <c r="R21" s="205"/>
      <c r="S21" s="769" t="s">
        <v>46</v>
      </c>
      <c r="T21" s="770"/>
      <c r="U21" s="17" t="s">
        <v>31</v>
      </c>
      <c r="V21" s="201" t="e">
        <f>IF(OR($U$11="", $U$21=""), "",
   INDEX($H$38:$P$47,
         MATCH($U$21,$F$38:$F$47,0),
         MATCH($U$11,$H$10:$P$10,0)))</f>
        <v>#N/A</v>
      </c>
      <c r="W21" s="205"/>
      <c r="X21" s="18"/>
    </row>
    <row r="22" spans="1:25" x14ac:dyDescent="0.25">
      <c r="A22" s="204"/>
      <c r="B22" s="195">
        <v>7.625</v>
      </c>
      <c r="C22" s="21">
        <v>102.93</v>
      </c>
      <c r="D22" s="210"/>
      <c r="E22" s="205"/>
      <c r="F22" s="914" t="s">
        <v>27</v>
      </c>
      <c r="G22" s="915"/>
      <c r="H22" s="915"/>
      <c r="I22" s="915"/>
      <c r="J22" s="915"/>
      <c r="K22" s="915"/>
      <c r="L22" s="915"/>
      <c r="M22" s="915"/>
      <c r="N22" s="915"/>
      <c r="O22" s="915"/>
      <c r="P22" s="916"/>
      <c r="Q22" s="205"/>
      <c r="R22" s="205"/>
      <c r="S22" s="769" t="s">
        <v>47</v>
      </c>
      <c r="T22" s="770"/>
      <c r="U22" s="17" t="s">
        <v>31</v>
      </c>
      <c r="V22" s="201" t="e">
        <f>IF(OR($U$11="", $U$22=""), "",
   INDEX($H$32:$P$36,
         MATCH($U$22,$F$32:$F$36,0),
         MATCH($U$11,$H$10:$P$10,0)))</f>
        <v>#N/A</v>
      </c>
      <c r="W22" s="205"/>
    </row>
    <row r="23" spans="1:25" ht="15.75" customHeight="1" x14ac:dyDescent="0.25">
      <c r="A23" s="204"/>
      <c r="B23" s="195">
        <v>7.75</v>
      </c>
      <c r="C23" s="21">
        <v>103.258</v>
      </c>
      <c r="D23" s="210"/>
      <c r="E23" s="205"/>
      <c r="F23" s="655" t="s">
        <v>48</v>
      </c>
      <c r="G23" s="656"/>
      <c r="H23" s="22">
        <v>0.5</v>
      </c>
      <c r="I23" s="22">
        <v>0.5</v>
      </c>
      <c r="J23" s="22">
        <v>0.5</v>
      </c>
      <c r="K23" s="22">
        <v>0.5</v>
      </c>
      <c r="L23" s="22">
        <v>0.5</v>
      </c>
      <c r="M23" s="22">
        <v>0.5</v>
      </c>
      <c r="N23" s="22">
        <v>0.5</v>
      </c>
      <c r="O23" s="22">
        <v>0.5</v>
      </c>
      <c r="P23" s="23" t="s">
        <v>642</v>
      </c>
      <c r="Q23" s="205"/>
      <c r="R23" s="205"/>
      <c r="S23" s="769" t="s">
        <v>49</v>
      </c>
      <c r="T23" s="770"/>
      <c r="U23" s="17" t="s">
        <v>31</v>
      </c>
      <c r="V23" s="201">
        <f>'Feed(WS)'!$P$168</f>
        <v>0</v>
      </c>
      <c r="W23" s="205"/>
      <c r="Y23" s="24"/>
    </row>
    <row r="24" spans="1:25" ht="15.75" customHeight="1" x14ac:dyDescent="0.25">
      <c r="A24" s="204"/>
      <c r="B24" s="195">
        <v>7.875</v>
      </c>
      <c r="C24" s="21">
        <v>103.578125</v>
      </c>
      <c r="D24" s="210"/>
      <c r="E24" s="205"/>
      <c r="F24" s="655" t="s">
        <v>28</v>
      </c>
      <c r="G24" s="656"/>
      <c r="H24" s="22">
        <v>0</v>
      </c>
      <c r="I24" s="22">
        <v>0</v>
      </c>
      <c r="J24" s="22">
        <v>0</v>
      </c>
      <c r="K24" s="22">
        <v>0</v>
      </c>
      <c r="L24" s="22">
        <v>0</v>
      </c>
      <c r="M24" s="22">
        <v>0</v>
      </c>
      <c r="N24" s="22">
        <v>0</v>
      </c>
      <c r="O24" s="22">
        <v>0</v>
      </c>
      <c r="P24" s="23">
        <v>0</v>
      </c>
      <c r="Q24" s="205"/>
      <c r="R24" s="205"/>
      <c r="S24" s="769" t="s">
        <v>50</v>
      </c>
      <c r="T24" s="770"/>
      <c r="U24" s="17" t="s">
        <v>31</v>
      </c>
      <c r="V24" s="201">
        <f>'Feed(WS)'!$P$163</f>
        <v>0</v>
      </c>
      <c r="W24" s="205"/>
      <c r="Y24" s="24"/>
    </row>
    <row r="25" spans="1:25" ht="15.75" customHeight="1" x14ac:dyDescent="0.25">
      <c r="A25" s="204"/>
      <c r="B25" s="195">
        <v>7.9989999999999997</v>
      </c>
      <c r="C25" s="21">
        <v>103.859375</v>
      </c>
      <c r="D25" s="210"/>
      <c r="E25" s="205"/>
      <c r="F25" s="914" t="s">
        <v>51</v>
      </c>
      <c r="G25" s="915"/>
      <c r="H25" s="915"/>
      <c r="I25" s="915"/>
      <c r="J25" s="915"/>
      <c r="K25" s="915"/>
      <c r="L25" s="915"/>
      <c r="M25" s="915"/>
      <c r="N25" s="915"/>
      <c r="O25" s="915"/>
      <c r="P25" s="916"/>
      <c r="Q25" s="205"/>
      <c r="R25" s="205"/>
      <c r="S25" s="769" t="s">
        <v>52</v>
      </c>
      <c r="T25" s="770"/>
      <c r="U25" s="17" t="s">
        <v>53</v>
      </c>
      <c r="V25" s="201" t="e">
        <f>'Feed(WS)'!$O$163</f>
        <v>#N/A</v>
      </c>
      <c r="W25" s="205"/>
    </row>
    <row r="26" spans="1:25" x14ac:dyDescent="0.25">
      <c r="A26" s="204"/>
      <c r="B26" s="195">
        <v>8.125</v>
      </c>
      <c r="C26" s="21">
        <v>104.109375</v>
      </c>
      <c r="D26" s="210"/>
      <c r="E26" s="205"/>
      <c r="F26" s="655" t="s">
        <v>54</v>
      </c>
      <c r="G26" s="656"/>
      <c r="H26" s="22">
        <v>-0.25</v>
      </c>
      <c r="I26" s="22">
        <v>-0.25</v>
      </c>
      <c r="J26" s="22">
        <v>-0.25</v>
      </c>
      <c r="K26" s="22">
        <v>-0.25</v>
      </c>
      <c r="L26" s="22">
        <v>-0.25</v>
      </c>
      <c r="M26" s="22">
        <v>-0.25</v>
      </c>
      <c r="N26" s="22">
        <v>-0.25</v>
      </c>
      <c r="O26" s="22">
        <v>-0.25</v>
      </c>
      <c r="P26" s="23">
        <v>-0.25</v>
      </c>
      <c r="Q26" s="205"/>
      <c r="R26" s="205"/>
      <c r="S26" s="769" t="s">
        <v>55</v>
      </c>
      <c r="T26" s="770"/>
      <c r="U26" s="17" t="s">
        <v>56</v>
      </c>
      <c r="V26" s="201" t="e">
        <f>'Feed(WS)'!$Q$168</f>
        <v>#N/A</v>
      </c>
      <c r="W26" s="205"/>
    </row>
    <row r="27" spans="1:25" ht="15.75" customHeight="1" x14ac:dyDescent="0.25">
      <c r="A27" s="204"/>
      <c r="B27" s="195">
        <v>8.25</v>
      </c>
      <c r="C27" s="21">
        <v>104.359375</v>
      </c>
      <c r="D27" s="210"/>
      <c r="E27" s="205"/>
      <c r="F27" s="655" t="s">
        <v>57</v>
      </c>
      <c r="G27" s="656"/>
      <c r="H27" s="22">
        <v>-0.25</v>
      </c>
      <c r="I27" s="22">
        <v>-0.25</v>
      </c>
      <c r="J27" s="22">
        <v>-0.25</v>
      </c>
      <c r="K27" s="22">
        <v>-0.25</v>
      </c>
      <c r="L27" s="22">
        <v>-0.25</v>
      </c>
      <c r="M27" s="22">
        <v>-0.25</v>
      </c>
      <c r="N27" s="22">
        <v>-0.25</v>
      </c>
      <c r="O27" s="22">
        <v>-0.25</v>
      </c>
      <c r="P27" s="23">
        <v>-0.5</v>
      </c>
      <c r="Q27" s="205"/>
      <c r="R27" s="205"/>
      <c r="S27" s="769" t="s">
        <v>58</v>
      </c>
      <c r="T27" s="770"/>
      <c r="U27" s="17" t="s">
        <v>31</v>
      </c>
      <c r="V27" s="201">
        <f>IF($U$11="", "",
   IF($U$27="Choose a Selection",0,
      INDEX($H$55:$P$66,
           MATCH($U$27,$F$55:$F$66,0),
           MATCH($U$11,$H$10:$P$10,0))))</f>
        <v>0</v>
      </c>
      <c r="W27" s="205"/>
      <c r="X27" s="3"/>
    </row>
    <row r="28" spans="1:25" ht="15.75" customHeight="1" x14ac:dyDescent="0.25">
      <c r="A28" s="204"/>
      <c r="B28" s="195">
        <v>8.375</v>
      </c>
      <c r="C28" s="21">
        <v>104.609375</v>
      </c>
      <c r="D28" s="210"/>
      <c r="E28" s="205"/>
      <c r="F28" s="655" t="s">
        <v>59</v>
      </c>
      <c r="G28" s="656"/>
      <c r="H28" s="22">
        <v>-0.125</v>
      </c>
      <c r="I28" s="22">
        <v>-0.25</v>
      </c>
      <c r="J28" s="22">
        <v>-0.25</v>
      </c>
      <c r="K28" s="22">
        <v>-0.25</v>
      </c>
      <c r="L28" s="22">
        <v>-0.375</v>
      </c>
      <c r="M28" s="22">
        <v>-0.5</v>
      </c>
      <c r="N28" s="22">
        <v>-1</v>
      </c>
      <c r="O28" s="22" t="s">
        <v>642</v>
      </c>
      <c r="P28" s="23" t="s">
        <v>642</v>
      </c>
      <c r="Q28" s="205"/>
      <c r="R28" s="205"/>
      <c r="S28" s="769" t="s">
        <v>60</v>
      </c>
      <c r="T28" s="770"/>
      <c r="U28" s="17"/>
      <c r="V28" s="201">
        <v>0</v>
      </c>
      <c r="W28" s="205"/>
      <c r="X28" s="3"/>
    </row>
    <row r="29" spans="1:25" x14ac:dyDescent="0.25">
      <c r="A29" s="204"/>
      <c r="B29" s="195">
        <v>8.4990000000000006</v>
      </c>
      <c r="C29" s="21">
        <v>104.859375</v>
      </c>
      <c r="D29" s="210"/>
      <c r="E29" s="205"/>
      <c r="F29" s="655" t="s">
        <v>61</v>
      </c>
      <c r="G29" s="656"/>
      <c r="H29" s="22">
        <v>-0.125</v>
      </c>
      <c r="I29" s="22">
        <v>-0.25</v>
      </c>
      <c r="J29" s="22">
        <v>-0.25</v>
      </c>
      <c r="K29" s="22">
        <v>-0.25</v>
      </c>
      <c r="L29" s="22">
        <v>-0.25</v>
      </c>
      <c r="M29" s="22">
        <v>-0.25</v>
      </c>
      <c r="N29" s="22">
        <v>-0.375</v>
      </c>
      <c r="O29" s="22">
        <v>-0.375</v>
      </c>
      <c r="P29" s="23">
        <v>-0.375</v>
      </c>
      <c r="Q29" s="205"/>
      <c r="R29" s="205"/>
      <c r="S29" s="769" t="s">
        <v>62</v>
      </c>
      <c r="T29" s="770"/>
      <c r="U29" s="17" t="s">
        <v>31</v>
      </c>
      <c r="V29" s="201">
        <v>0</v>
      </c>
      <c r="W29" s="205"/>
      <c r="X29" s="25"/>
    </row>
    <row r="30" spans="1:25" x14ac:dyDescent="0.25">
      <c r="A30" s="204"/>
      <c r="B30" s="195">
        <v>8.625</v>
      </c>
      <c r="C30" s="21">
        <v>105.109375</v>
      </c>
      <c r="D30" s="210"/>
      <c r="E30" s="205"/>
      <c r="F30" s="655" t="s">
        <v>63</v>
      </c>
      <c r="G30" s="656"/>
      <c r="H30" s="22">
        <v>-0.75</v>
      </c>
      <c r="I30" s="22">
        <v>-0.75</v>
      </c>
      <c r="J30" s="22">
        <v>-0.75</v>
      </c>
      <c r="K30" s="22">
        <v>-0.75</v>
      </c>
      <c r="L30" s="22">
        <v>-0.75</v>
      </c>
      <c r="M30" s="22">
        <v>-0.75</v>
      </c>
      <c r="N30" s="22">
        <v>-0.75</v>
      </c>
      <c r="O30" s="22" t="s">
        <v>642</v>
      </c>
      <c r="P30" s="23" t="s">
        <v>642</v>
      </c>
      <c r="Q30" s="205"/>
      <c r="R30" s="205"/>
      <c r="S30" s="769" t="s">
        <v>64</v>
      </c>
      <c r="T30" s="770"/>
      <c r="U30" s="26" t="s">
        <v>65</v>
      </c>
      <c r="V30" s="201" t="e">
        <f>'Feed(WS)'!$R$168</f>
        <v>#N/A</v>
      </c>
      <c r="W30" s="205"/>
    </row>
    <row r="31" spans="1:25" x14ac:dyDescent="0.25">
      <c r="A31" s="204"/>
      <c r="B31" s="195">
        <v>8.75</v>
      </c>
      <c r="C31" s="21">
        <v>105.296875</v>
      </c>
      <c r="D31" s="210"/>
      <c r="E31" s="205"/>
      <c r="F31" s="914" t="s">
        <v>47</v>
      </c>
      <c r="G31" s="915"/>
      <c r="H31" s="915"/>
      <c r="I31" s="915"/>
      <c r="J31" s="915"/>
      <c r="K31" s="915"/>
      <c r="L31" s="915"/>
      <c r="M31" s="915"/>
      <c r="N31" s="915"/>
      <c r="O31" s="915"/>
      <c r="P31" s="916"/>
      <c r="Q31" s="205"/>
      <c r="R31" s="205"/>
      <c r="S31" s="769" t="s">
        <v>66</v>
      </c>
      <c r="T31" s="770"/>
      <c r="U31" s="26" t="s">
        <v>67</v>
      </c>
      <c r="V31" s="201" cm="1">
        <f t="array" ref="V31">IF(OR(
      AND(OR($U$31='Feed(WS)'!$R$4:$R$5), $U$22&lt;&gt;'Feed(WS)'!$J$3),
      AND(OR($U$31='Feed(WS)'!$R$4:$R$5), $U$25&lt;&gt;'Feed(WS)'!$M$4),
      AND(OR($U$31='Feed(WS)'!$R$4:$R$5), $U$23&lt;&gt;'Feed(WS)'!$L$3:$L$4),
   ),
   NA(),
   0)</f>
        <v>0</v>
      </c>
      <c r="W31" s="205"/>
    </row>
    <row r="32" spans="1:25" x14ac:dyDescent="0.25">
      <c r="A32" s="204"/>
      <c r="B32" s="195">
        <v>8.875</v>
      </c>
      <c r="C32" s="21">
        <v>105.484375</v>
      </c>
      <c r="D32" s="210"/>
      <c r="E32" s="205"/>
      <c r="F32" s="655" t="s">
        <v>68</v>
      </c>
      <c r="G32" s="656"/>
      <c r="H32" s="22">
        <v>0</v>
      </c>
      <c r="I32" s="22">
        <v>0</v>
      </c>
      <c r="J32" s="22">
        <v>0</v>
      </c>
      <c r="K32" s="22">
        <v>0</v>
      </c>
      <c r="L32" s="22">
        <v>0</v>
      </c>
      <c r="M32" s="22">
        <v>0</v>
      </c>
      <c r="N32" s="22">
        <v>0</v>
      </c>
      <c r="O32" s="22">
        <v>0</v>
      </c>
      <c r="P32" s="23">
        <v>0</v>
      </c>
      <c r="Q32" s="205"/>
      <c r="R32" s="205"/>
      <c r="S32" s="769" t="s">
        <v>69</v>
      </c>
      <c r="T32" s="770"/>
      <c r="U32" s="26" t="s">
        <v>67</v>
      </c>
      <c r="V32" s="201">
        <f>IF($U$11="","",
   IF($U$32="","",
      IF(OR($U$32="No",$U$32="Choose a Selection"),0,
         INDEX($H$68:$P$74,
              MATCH(IF($U$32="Yes",$S$32,$U$32),$F$68:$F$74,0),
              MATCH($U$11,$H$10:$P$10,0)))))</f>
        <v>0</v>
      </c>
      <c r="W32" s="205"/>
    </row>
    <row r="33" spans="1:25" ht="15.75" customHeight="1" x14ac:dyDescent="0.25">
      <c r="A33" s="204"/>
      <c r="B33" s="195">
        <v>8.9990000000000006</v>
      </c>
      <c r="C33" s="21">
        <v>105.671875</v>
      </c>
      <c r="D33" s="210"/>
      <c r="E33" s="205"/>
      <c r="F33" s="655" t="s">
        <v>70</v>
      </c>
      <c r="G33" s="656"/>
      <c r="H33" s="22">
        <v>0</v>
      </c>
      <c r="I33" s="22">
        <v>0</v>
      </c>
      <c r="J33" s="22">
        <v>0</v>
      </c>
      <c r="K33" s="22">
        <v>0</v>
      </c>
      <c r="L33" s="22">
        <v>-0.25</v>
      </c>
      <c r="M33" s="22">
        <v>-0.25</v>
      </c>
      <c r="N33" s="22">
        <v>-0.25</v>
      </c>
      <c r="O33" s="22">
        <v>-0.25</v>
      </c>
      <c r="P33" s="23" t="s">
        <v>642</v>
      </c>
      <c r="Q33" s="205"/>
      <c r="R33" s="205"/>
      <c r="S33" s="769" t="s">
        <v>73</v>
      </c>
      <c r="T33" s="770"/>
      <c r="U33" s="27" t="str">
        <f>IF(ISNA(V33),"Yes",IF(V33=0,"No",""))</f>
        <v>No</v>
      </c>
      <c r="V33" s="201">
        <f>'Feed(WS)'!$B$67</f>
        <v>0</v>
      </c>
      <c r="W33" s="205"/>
    </row>
    <row r="34" spans="1:25" x14ac:dyDescent="0.25">
      <c r="A34" s="204"/>
      <c r="B34" s="195">
        <v>9.125</v>
      </c>
      <c r="C34" s="21">
        <v>105.859375</v>
      </c>
      <c r="D34" s="210"/>
      <c r="E34" s="205"/>
      <c r="F34" s="655" t="s">
        <v>72</v>
      </c>
      <c r="G34" s="656"/>
      <c r="H34" s="22">
        <v>0</v>
      </c>
      <c r="I34" s="22">
        <v>-0.125</v>
      </c>
      <c r="J34" s="22">
        <v>-0.125</v>
      </c>
      <c r="K34" s="22">
        <v>-0.125</v>
      </c>
      <c r="L34" s="22">
        <v>-0.25</v>
      </c>
      <c r="M34" s="22">
        <v>-0.5</v>
      </c>
      <c r="N34" s="22">
        <v>-0.75</v>
      </c>
      <c r="O34" s="22" t="s">
        <v>642</v>
      </c>
      <c r="P34" s="23" t="s">
        <v>642</v>
      </c>
      <c r="Q34" s="205"/>
      <c r="R34" s="205"/>
      <c r="S34" s="769" t="s">
        <v>73</v>
      </c>
      <c r="T34" s="770"/>
      <c r="U34" s="27" t="s">
        <v>74</v>
      </c>
      <c r="V34" s="201">
        <v>0</v>
      </c>
      <c r="W34" s="205"/>
    </row>
    <row r="35" spans="1:25" ht="15.75" customHeight="1" x14ac:dyDescent="0.25">
      <c r="A35" s="204"/>
      <c r="B35" s="195">
        <v>9.25</v>
      </c>
      <c r="C35" s="21">
        <v>106.046875</v>
      </c>
      <c r="D35" s="210"/>
      <c r="E35" s="205"/>
      <c r="F35" s="655" t="s">
        <v>75</v>
      </c>
      <c r="G35" s="656"/>
      <c r="H35" s="22">
        <v>-0.25</v>
      </c>
      <c r="I35" s="22">
        <v>-0.25</v>
      </c>
      <c r="J35" s="22">
        <v>-0.25</v>
      </c>
      <c r="K35" s="22">
        <v>-0.25</v>
      </c>
      <c r="L35" s="22">
        <v>-0.25</v>
      </c>
      <c r="M35" s="22">
        <v>-0.5</v>
      </c>
      <c r="N35" s="22">
        <v>-0.5</v>
      </c>
      <c r="O35" s="22" t="s">
        <v>642</v>
      </c>
      <c r="P35" s="23" t="s">
        <v>642</v>
      </c>
      <c r="Q35" s="205"/>
      <c r="R35" s="205"/>
      <c r="S35" s="769" t="s">
        <v>207</v>
      </c>
      <c r="T35" s="770"/>
      <c r="U35" s="27" t="e">
        <f>IF(V36=0,'Feed(WS)'!Y4,'Feed(WS)'!Y5)</f>
        <v>#N/A</v>
      </c>
      <c r="V35" s="201" t="b">
        <f>'Feed(WS)'!$Z$1</f>
        <v>0</v>
      </c>
      <c r="W35" s="205"/>
    </row>
    <row r="36" spans="1:25" x14ac:dyDescent="0.25">
      <c r="A36" s="204"/>
      <c r="B36" s="195">
        <v>9.375</v>
      </c>
      <c r="C36" s="21">
        <v>106.234375</v>
      </c>
      <c r="D36" s="210"/>
      <c r="E36" s="205"/>
      <c r="F36" s="655" t="s">
        <v>76</v>
      </c>
      <c r="G36" s="656"/>
      <c r="H36" s="22">
        <v>-0.5</v>
      </c>
      <c r="I36" s="22">
        <v>-0.5</v>
      </c>
      <c r="J36" s="22">
        <v>-0.5</v>
      </c>
      <c r="K36" s="22">
        <v>-0.5</v>
      </c>
      <c r="L36" s="22">
        <v>-0.5</v>
      </c>
      <c r="M36" s="22">
        <v>-0.75</v>
      </c>
      <c r="N36" s="22" t="s">
        <v>642</v>
      </c>
      <c r="O36" s="22" t="s">
        <v>642</v>
      </c>
      <c r="P36" s="23" t="s">
        <v>642</v>
      </c>
      <c r="Q36" s="205"/>
      <c r="R36" s="205"/>
      <c r="S36" s="771" t="s">
        <v>77</v>
      </c>
      <c r="T36" s="772"/>
      <c r="U36" s="773"/>
      <c r="V36" s="202" t="e">
        <f>SUM($V$12:$V$35)</f>
        <v>#N/A</v>
      </c>
      <c r="W36" s="205"/>
    </row>
    <row r="37" spans="1:25" ht="15.75" customHeight="1" x14ac:dyDescent="0.25">
      <c r="A37" s="204"/>
      <c r="B37" s="195">
        <v>9.4990000000000006</v>
      </c>
      <c r="C37" s="21">
        <v>106.421875</v>
      </c>
      <c r="D37" s="210"/>
      <c r="E37" s="205"/>
      <c r="F37" s="914" t="s">
        <v>78</v>
      </c>
      <c r="G37" s="915"/>
      <c r="H37" s="915"/>
      <c r="I37" s="915"/>
      <c r="J37" s="915"/>
      <c r="K37" s="915"/>
      <c r="L37" s="915"/>
      <c r="M37" s="915"/>
      <c r="N37" s="915"/>
      <c r="O37" s="915"/>
      <c r="P37" s="916"/>
      <c r="Q37" s="228"/>
      <c r="R37" s="205"/>
      <c r="S37" s="771" t="s">
        <v>79</v>
      </c>
      <c r="T37" s="772"/>
      <c r="U37" s="773"/>
      <c r="V37" s="202" t="str">
        <f>_xlfn.XLOOKUP($U$10, $B$10:$B$50, $C$10:$C$50, "#N/A")</f>
        <v>#N/A</v>
      </c>
      <c r="W37" s="205"/>
      <c r="Y37" s="25"/>
    </row>
    <row r="38" spans="1:25" ht="15.75" customHeight="1" x14ac:dyDescent="0.25">
      <c r="A38" s="204"/>
      <c r="B38" s="195">
        <v>9.625</v>
      </c>
      <c r="C38" s="21">
        <v>106.609375</v>
      </c>
      <c r="D38" s="210"/>
      <c r="E38" s="205"/>
      <c r="F38" s="655" t="s">
        <v>80</v>
      </c>
      <c r="G38" s="656"/>
      <c r="H38" s="22">
        <v>-0.5</v>
      </c>
      <c r="I38" s="22">
        <v>-0.625</v>
      </c>
      <c r="J38" s="22">
        <v>-0.625</v>
      </c>
      <c r="K38" s="22">
        <v>-0.75</v>
      </c>
      <c r="L38" s="22">
        <v>-0.75</v>
      </c>
      <c r="M38" s="22">
        <v>-0.875</v>
      </c>
      <c r="N38" s="22">
        <v>-1</v>
      </c>
      <c r="O38" s="22">
        <v>-1.5</v>
      </c>
      <c r="P38" s="23">
        <v>-1.5</v>
      </c>
      <c r="Q38" s="205"/>
      <c r="R38" s="205"/>
      <c r="S38" s="771" t="s">
        <v>81</v>
      </c>
      <c r="T38" s="772"/>
      <c r="U38" s="773"/>
      <c r="V38" s="202" t="str">
        <f>IFERROR(IF(AND($U$10&lt;&gt;'Feed(WS)'!$K$134,$V$39=$T$64),NA(),$V$37+$V$36),"#N/A")</f>
        <v>#N/A</v>
      </c>
      <c r="W38" s="205"/>
    </row>
    <row r="39" spans="1:25" x14ac:dyDescent="0.25">
      <c r="A39" s="204"/>
      <c r="B39" s="195">
        <v>9.75</v>
      </c>
      <c r="C39" s="21">
        <v>106.796875</v>
      </c>
      <c r="D39" s="210"/>
      <c r="E39" s="205"/>
      <c r="F39" s="655" t="s">
        <v>82</v>
      </c>
      <c r="G39" s="656"/>
      <c r="H39" s="22">
        <v>0</v>
      </c>
      <c r="I39" s="22">
        <v>0</v>
      </c>
      <c r="J39" s="22">
        <v>0</v>
      </c>
      <c r="K39" s="22">
        <v>0</v>
      </c>
      <c r="L39" s="22">
        <v>0</v>
      </c>
      <c r="M39" s="22">
        <v>0</v>
      </c>
      <c r="N39" s="22">
        <v>0</v>
      </c>
      <c r="O39" s="22">
        <v>-0.25</v>
      </c>
      <c r="P39" s="23">
        <v>-0.5</v>
      </c>
      <c r="Q39" s="205"/>
      <c r="R39" s="205"/>
      <c r="S39" s="771" t="s">
        <v>83</v>
      </c>
      <c r="T39" s="772"/>
      <c r="U39" s="773"/>
      <c r="V39" s="202" t="e">
        <f>IF(OR('Feed(WS)'!$E$147=0, ISERROR('Feed(WS)'!$E$147)), NA(), 'Feed(WS)'!$E$147)</f>
        <v>#N/A</v>
      </c>
      <c r="W39" s="205"/>
    </row>
    <row r="40" spans="1:25" ht="14.25" customHeight="1" x14ac:dyDescent="0.25">
      <c r="A40" s="204"/>
      <c r="B40" s="195">
        <v>9.875</v>
      </c>
      <c r="C40" s="21">
        <v>106.921875</v>
      </c>
      <c r="D40" s="210"/>
      <c r="E40" s="205"/>
      <c r="F40" s="655" t="s">
        <v>84</v>
      </c>
      <c r="G40" s="656"/>
      <c r="H40" s="22">
        <v>0</v>
      </c>
      <c r="I40" s="22">
        <v>0</v>
      </c>
      <c r="J40" s="22">
        <v>0</v>
      </c>
      <c r="K40" s="22">
        <v>0</v>
      </c>
      <c r="L40" s="22">
        <v>0</v>
      </c>
      <c r="M40" s="22">
        <v>0</v>
      </c>
      <c r="N40" s="22">
        <v>0</v>
      </c>
      <c r="O40" s="22">
        <v>0</v>
      </c>
      <c r="P40" s="23">
        <v>0</v>
      </c>
      <c r="Q40" s="205"/>
      <c r="R40" s="205"/>
      <c r="S40" s="774" t="s">
        <v>85</v>
      </c>
      <c r="T40" s="775"/>
      <c r="U40" s="776"/>
      <c r="V40" s="203" t="e">
        <f>IF(OR($V$36="#NA",$V$37="#NA"),NA(),IF(AND($U$9&lt;&gt;'Feed(WS)'!$K$134,$V$39=$T$64),NA(),IF($V$38&gt;$V$39,$V$39,$V$38)))</f>
        <v>#N/A</v>
      </c>
      <c r="W40" s="205"/>
    </row>
    <row r="41" spans="1:25" ht="14.25" customHeight="1" x14ac:dyDescent="0.25">
      <c r="A41" s="204"/>
      <c r="B41" s="195">
        <v>9.9990000000000006</v>
      </c>
      <c r="C41" s="21">
        <v>107.046875</v>
      </c>
      <c r="D41" s="210"/>
      <c r="E41" s="205"/>
      <c r="F41" s="653" t="s">
        <v>86</v>
      </c>
      <c r="G41" s="654"/>
      <c r="H41" s="22">
        <v>0.375</v>
      </c>
      <c r="I41" s="22">
        <v>0.375</v>
      </c>
      <c r="J41" s="22">
        <v>0.25</v>
      </c>
      <c r="K41" s="22">
        <v>0.25</v>
      </c>
      <c r="L41" s="22">
        <v>0.25</v>
      </c>
      <c r="M41" s="22">
        <v>0.25</v>
      </c>
      <c r="N41" s="22">
        <v>0.25</v>
      </c>
      <c r="O41" s="22">
        <v>0</v>
      </c>
      <c r="P41" s="23">
        <v>0</v>
      </c>
      <c r="Q41" s="205"/>
      <c r="R41" s="205"/>
      <c r="S41" s="774" t="str" cm="1">
        <f t="array" ref="S41">IF(OR($U$11:$U$25="Choose a Selection"),"",CONCATENATE('Feed(WS)'!$I$134," ",'Feed(WS)'!$K$134,"%"&amp;" @ "&amp;'Feed(WS)'!$L$134))</f>
        <v/>
      </c>
      <c r="T41" s="775"/>
      <c r="U41" s="775"/>
      <c r="V41" s="782"/>
      <c r="W41" s="205"/>
    </row>
    <row r="42" spans="1:25" ht="15.75" customHeight="1" x14ac:dyDescent="0.25">
      <c r="A42" s="204"/>
      <c r="B42" s="195">
        <v>10.125</v>
      </c>
      <c r="C42" s="21">
        <v>107.171875</v>
      </c>
      <c r="D42" s="210"/>
      <c r="E42" s="205"/>
      <c r="F42" s="653" t="s">
        <v>87</v>
      </c>
      <c r="G42" s="654"/>
      <c r="H42" s="22">
        <v>0</v>
      </c>
      <c r="I42" s="22">
        <v>0</v>
      </c>
      <c r="J42" s="22">
        <v>0</v>
      </c>
      <c r="K42" s="22">
        <v>0</v>
      </c>
      <c r="L42" s="22">
        <v>0</v>
      </c>
      <c r="M42" s="22">
        <v>0</v>
      </c>
      <c r="N42" s="22">
        <v>0</v>
      </c>
      <c r="O42" s="22">
        <v>0</v>
      </c>
      <c r="P42" s="23">
        <v>0</v>
      </c>
      <c r="Q42" s="205"/>
      <c r="R42" s="205"/>
      <c r="S42" s="917" t="s">
        <v>88</v>
      </c>
      <c r="T42" s="917"/>
      <c r="U42" s="917"/>
      <c r="V42" s="918"/>
      <c r="W42" s="205"/>
    </row>
    <row r="43" spans="1:25" ht="14.25" customHeight="1" x14ac:dyDescent="0.25">
      <c r="A43" s="204"/>
      <c r="B43" s="195">
        <v>10.25</v>
      </c>
      <c r="C43" s="21">
        <v>107.296875</v>
      </c>
      <c r="D43" s="210"/>
      <c r="E43" s="205"/>
      <c r="F43" s="653" t="s">
        <v>89</v>
      </c>
      <c r="G43" s="654"/>
      <c r="H43" s="22">
        <v>-0.25</v>
      </c>
      <c r="I43" s="22">
        <v>-0.25</v>
      </c>
      <c r="J43" s="22">
        <v>-0.25</v>
      </c>
      <c r="K43" s="22">
        <v>-0.25</v>
      </c>
      <c r="L43" s="22">
        <v>-0.25</v>
      </c>
      <c r="M43" s="22">
        <v>-0.25</v>
      </c>
      <c r="N43" s="22">
        <v>-0.25</v>
      </c>
      <c r="O43" s="22">
        <v>-0.25</v>
      </c>
      <c r="P43" s="23" t="s">
        <v>642</v>
      </c>
      <c r="Q43" s="229"/>
      <c r="R43" s="205"/>
      <c r="S43" s="919"/>
      <c r="T43" s="919"/>
      <c r="U43" s="919"/>
      <c r="V43" s="920"/>
      <c r="W43" s="205"/>
    </row>
    <row r="44" spans="1:25" ht="15.75" customHeight="1" x14ac:dyDescent="0.25">
      <c r="A44" s="204"/>
      <c r="B44" s="195">
        <v>10.375</v>
      </c>
      <c r="C44" s="21">
        <v>107.421875</v>
      </c>
      <c r="D44" s="210"/>
      <c r="E44" s="205"/>
      <c r="F44" s="653" t="s">
        <v>90</v>
      </c>
      <c r="G44" s="654"/>
      <c r="H44" s="22">
        <v>-0.5</v>
      </c>
      <c r="I44" s="22">
        <v>-0.5</v>
      </c>
      <c r="J44" s="22">
        <v>-0.5</v>
      </c>
      <c r="K44" s="22">
        <v>-0.5</v>
      </c>
      <c r="L44" s="22">
        <v>-0.5</v>
      </c>
      <c r="M44" s="22">
        <v>-0.5</v>
      </c>
      <c r="N44" s="22">
        <v>-0.5</v>
      </c>
      <c r="O44" s="22" t="s">
        <v>642</v>
      </c>
      <c r="P44" s="23" t="s">
        <v>642</v>
      </c>
      <c r="Q44" s="205"/>
      <c r="R44" s="205"/>
      <c r="S44" s="919"/>
      <c r="T44" s="919"/>
      <c r="U44" s="919"/>
      <c r="V44" s="920"/>
      <c r="W44" s="205"/>
    </row>
    <row r="45" spans="1:25" ht="14.25" customHeight="1" x14ac:dyDescent="0.25">
      <c r="A45" s="204"/>
      <c r="B45" s="195">
        <v>10.499000000000001</v>
      </c>
      <c r="C45" s="21">
        <v>107.546875</v>
      </c>
      <c r="D45" s="210"/>
      <c r="E45" s="205"/>
      <c r="F45" s="653" t="s">
        <v>91</v>
      </c>
      <c r="G45" s="654"/>
      <c r="H45" s="22">
        <v>-1</v>
      </c>
      <c r="I45" s="22">
        <v>-1</v>
      </c>
      <c r="J45" s="22">
        <v>-1</v>
      </c>
      <c r="K45" s="22">
        <v>-1</v>
      </c>
      <c r="L45" s="22">
        <v>-1</v>
      </c>
      <c r="M45" s="22">
        <v>-1</v>
      </c>
      <c r="N45" s="22">
        <v>-1</v>
      </c>
      <c r="O45" s="22" t="s">
        <v>642</v>
      </c>
      <c r="P45" s="23" t="s">
        <v>642</v>
      </c>
      <c r="Q45" s="205"/>
      <c r="R45" s="205"/>
      <c r="S45" s="919"/>
      <c r="T45" s="919"/>
      <c r="U45" s="919"/>
      <c r="V45" s="920"/>
      <c r="W45" s="205"/>
    </row>
    <row r="46" spans="1:25" ht="14.25" customHeight="1" x14ac:dyDescent="0.25">
      <c r="A46" s="204"/>
      <c r="B46" s="195">
        <v>10.625</v>
      </c>
      <c r="C46" s="21">
        <v>107.671875</v>
      </c>
      <c r="D46" s="210"/>
      <c r="E46" s="205"/>
      <c r="F46" s="653" t="s">
        <v>92</v>
      </c>
      <c r="G46" s="654"/>
      <c r="H46" s="22">
        <v>-2</v>
      </c>
      <c r="I46" s="22">
        <v>-2</v>
      </c>
      <c r="J46" s="22">
        <v>-2</v>
      </c>
      <c r="K46" s="22">
        <v>-2</v>
      </c>
      <c r="L46" s="22">
        <v>-2</v>
      </c>
      <c r="M46" s="22" t="s">
        <v>642</v>
      </c>
      <c r="N46" s="22" t="s">
        <v>642</v>
      </c>
      <c r="O46" s="22" t="s">
        <v>642</v>
      </c>
      <c r="P46" s="23" t="s">
        <v>642</v>
      </c>
      <c r="Q46" s="205"/>
      <c r="R46" s="205"/>
      <c r="S46" s="924"/>
      <c r="T46" s="924"/>
      <c r="U46" s="924"/>
      <c r="V46" s="925"/>
      <c r="W46" s="205"/>
    </row>
    <row r="47" spans="1:25" ht="14.25" customHeight="1" x14ac:dyDescent="0.25">
      <c r="A47" s="204"/>
      <c r="B47" s="195">
        <v>10.75</v>
      </c>
      <c r="C47" s="21">
        <v>107.796875</v>
      </c>
      <c r="D47" s="210"/>
      <c r="E47" s="205"/>
      <c r="F47" s="653" t="s">
        <v>93</v>
      </c>
      <c r="G47" s="654"/>
      <c r="H47" s="22">
        <v>-3</v>
      </c>
      <c r="I47" s="22">
        <v>-3</v>
      </c>
      <c r="J47" s="22">
        <v>-3</v>
      </c>
      <c r="K47" s="22">
        <v>-3</v>
      </c>
      <c r="L47" s="22" t="s">
        <v>642</v>
      </c>
      <c r="M47" s="22" t="s">
        <v>642</v>
      </c>
      <c r="N47" s="22" t="s">
        <v>642</v>
      </c>
      <c r="O47" s="22" t="s">
        <v>642</v>
      </c>
      <c r="P47" s="23" t="s">
        <v>642</v>
      </c>
      <c r="Q47" s="205"/>
      <c r="R47" s="205"/>
      <c r="S47" s="917" t="s">
        <v>94</v>
      </c>
      <c r="T47" s="917"/>
      <c r="U47" s="917"/>
      <c r="V47" s="918"/>
      <c r="W47" s="205"/>
    </row>
    <row r="48" spans="1:25" ht="15.75" customHeight="1" x14ac:dyDescent="0.25">
      <c r="A48" s="204"/>
      <c r="B48" s="195">
        <v>10.875</v>
      </c>
      <c r="C48" s="21">
        <v>107.921875</v>
      </c>
      <c r="D48" s="210"/>
      <c r="E48" s="205"/>
      <c r="F48" s="914" t="s">
        <v>95</v>
      </c>
      <c r="G48" s="915"/>
      <c r="H48" s="915"/>
      <c r="I48" s="915"/>
      <c r="J48" s="915"/>
      <c r="K48" s="915"/>
      <c r="L48" s="915"/>
      <c r="M48" s="915"/>
      <c r="N48" s="915"/>
      <c r="O48" s="915"/>
      <c r="P48" s="916"/>
      <c r="Q48" s="205"/>
      <c r="R48" s="205"/>
      <c r="S48" s="919"/>
      <c r="T48" s="919"/>
      <c r="U48" s="919"/>
      <c r="V48" s="920"/>
      <c r="W48" s="205"/>
    </row>
    <row r="49" spans="1:23" ht="15.75" customHeight="1" x14ac:dyDescent="0.25">
      <c r="A49" s="204"/>
      <c r="B49" s="195">
        <v>10.999000000000001</v>
      </c>
      <c r="C49" s="21">
        <v>108.046875</v>
      </c>
      <c r="D49" s="210"/>
      <c r="E49" s="205"/>
      <c r="F49" s="655" t="s">
        <v>96</v>
      </c>
      <c r="G49" s="656"/>
      <c r="H49" s="22">
        <v>-0.375</v>
      </c>
      <c r="I49" s="22">
        <v>-0.5</v>
      </c>
      <c r="J49" s="22">
        <v>-0.5</v>
      </c>
      <c r="K49" s="22">
        <v>-0.75</v>
      </c>
      <c r="L49" s="22">
        <v>-0.75</v>
      </c>
      <c r="M49" s="22">
        <v>-0.75</v>
      </c>
      <c r="N49" s="22">
        <v>-0.75</v>
      </c>
      <c r="O49" s="22">
        <v>-1</v>
      </c>
      <c r="P49" s="23" t="s">
        <v>642</v>
      </c>
      <c r="Q49" s="205"/>
      <c r="R49" s="205"/>
      <c r="S49" s="919"/>
      <c r="T49" s="919"/>
      <c r="U49" s="919"/>
      <c r="V49" s="920"/>
      <c r="W49" s="205"/>
    </row>
    <row r="50" spans="1:23" x14ac:dyDescent="0.25">
      <c r="A50" s="204"/>
      <c r="B50" s="195">
        <v>11.125</v>
      </c>
      <c r="C50" s="21">
        <v>108.171875</v>
      </c>
      <c r="D50" s="210"/>
      <c r="E50" s="205"/>
      <c r="F50" s="655" t="s">
        <v>97</v>
      </c>
      <c r="G50" s="656"/>
      <c r="H50" s="22">
        <v>-0.25</v>
      </c>
      <c r="I50" s="22">
        <v>-0.25</v>
      </c>
      <c r="J50" s="22">
        <v>-0.25</v>
      </c>
      <c r="K50" s="22">
        <v>-0.5</v>
      </c>
      <c r="L50" s="22">
        <v>-0.5</v>
      </c>
      <c r="M50" s="22">
        <v>-0.5</v>
      </c>
      <c r="N50" s="22">
        <v>-0.5</v>
      </c>
      <c r="O50" s="22">
        <v>-0.5</v>
      </c>
      <c r="P50" s="23" t="s">
        <v>642</v>
      </c>
      <c r="Q50" s="205"/>
      <c r="R50" s="205"/>
      <c r="S50" s="919"/>
      <c r="T50" s="919"/>
      <c r="U50" s="919"/>
      <c r="V50" s="920"/>
      <c r="W50" s="232"/>
    </row>
    <row r="51" spans="1:23" ht="13.5" customHeight="1" x14ac:dyDescent="0.25">
      <c r="A51" s="205"/>
      <c r="B51" s="292"/>
      <c r="C51" s="293"/>
      <c r="D51" s="205"/>
      <c r="E51" s="211"/>
      <c r="F51" s="655" t="s">
        <v>98</v>
      </c>
      <c r="G51" s="656"/>
      <c r="H51" s="22">
        <v>-1</v>
      </c>
      <c r="I51" s="22">
        <v>-1</v>
      </c>
      <c r="J51" s="22">
        <v>-1</v>
      </c>
      <c r="K51" s="22">
        <v>-1</v>
      </c>
      <c r="L51" s="22">
        <v>-1.25</v>
      </c>
      <c r="M51" s="22">
        <v>-1.5</v>
      </c>
      <c r="N51" s="22" t="s">
        <v>642</v>
      </c>
      <c r="O51" s="22" t="s">
        <v>642</v>
      </c>
      <c r="P51" s="23" t="s">
        <v>642</v>
      </c>
      <c r="Q51" s="205"/>
      <c r="R51" s="211"/>
      <c r="S51" s="921"/>
      <c r="T51" s="922"/>
      <c r="U51" s="922"/>
      <c r="V51" s="923"/>
      <c r="W51" s="233"/>
    </row>
    <row r="52" spans="1:23" x14ac:dyDescent="0.25">
      <c r="A52" s="205"/>
      <c r="B52" s="294"/>
      <c r="C52" s="295"/>
      <c r="D52" s="205"/>
      <c r="E52" s="205"/>
      <c r="F52" s="655" t="s">
        <v>99</v>
      </c>
      <c r="G52" s="656"/>
      <c r="H52" s="22">
        <v>0</v>
      </c>
      <c r="I52" s="22">
        <v>0</v>
      </c>
      <c r="J52" s="22">
        <v>0</v>
      </c>
      <c r="K52" s="22">
        <v>0</v>
      </c>
      <c r="L52" s="22">
        <v>0</v>
      </c>
      <c r="M52" s="22">
        <v>0</v>
      </c>
      <c r="N52" s="22">
        <v>0</v>
      </c>
      <c r="O52" s="22">
        <v>0</v>
      </c>
      <c r="P52" s="23" t="s">
        <v>642</v>
      </c>
      <c r="Q52" s="205"/>
      <c r="R52" s="205"/>
      <c r="S52" s="930"/>
      <c r="T52" s="931"/>
      <c r="U52" s="931"/>
      <c r="V52" s="932"/>
      <c r="W52" s="233"/>
    </row>
    <row r="53" spans="1:23" x14ac:dyDescent="0.25">
      <c r="A53" s="205"/>
      <c r="B53" s="296"/>
      <c r="C53" s="297"/>
      <c r="D53" s="212"/>
      <c r="E53" s="205"/>
      <c r="F53" s="655" t="s">
        <v>100</v>
      </c>
      <c r="G53" s="656"/>
      <c r="H53" s="22">
        <v>-0.125</v>
      </c>
      <c r="I53" s="22">
        <v>-0.125</v>
      </c>
      <c r="J53" s="22">
        <v>-0.125</v>
      </c>
      <c r="K53" s="22">
        <v>-0.25</v>
      </c>
      <c r="L53" s="22">
        <v>-0.25</v>
      </c>
      <c r="M53" s="22">
        <v>-0.25</v>
      </c>
      <c r="N53" s="22">
        <v>-0.25</v>
      </c>
      <c r="O53" s="22" t="s">
        <v>642</v>
      </c>
      <c r="P53" s="23" t="s">
        <v>642</v>
      </c>
      <c r="Q53" s="205"/>
      <c r="R53" s="205"/>
      <c r="S53" s="933"/>
      <c r="T53" s="934"/>
      <c r="U53" s="934"/>
      <c r="V53" s="935"/>
      <c r="W53" s="233"/>
    </row>
    <row r="54" spans="1:23" ht="15.75" thickBot="1" x14ac:dyDescent="0.3">
      <c r="A54" s="205"/>
      <c r="B54" s="296"/>
      <c r="C54" s="297"/>
      <c r="D54" s="213"/>
      <c r="E54" s="214"/>
      <c r="F54" s="936" t="s">
        <v>58</v>
      </c>
      <c r="G54" s="937"/>
      <c r="H54" s="937"/>
      <c r="I54" s="937"/>
      <c r="J54" s="937"/>
      <c r="K54" s="937"/>
      <c r="L54" s="937"/>
      <c r="M54" s="937"/>
      <c r="N54" s="937"/>
      <c r="O54" s="937"/>
      <c r="P54" s="937"/>
      <c r="Q54" s="205"/>
      <c r="R54" s="205"/>
      <c r="S54" s="933"/>
      <c r="T54" s="934"/>
      <c r="U54" s="934"/>
      <c r="V54" s="935"/>
      <c r="W54" s="233"/>
    </row>
    <row r="55" spans="1:23" x14ac:dyDescent="0.25">
      <c r="A55" s="205"/>
      <c r="B55" s="289" t="s">
        <v>64</v>
      </c>
      <c r="C55" s="291" t="s">
        <v>101</v>
      </c>
      <c r="D55" s="213"/>
      <c r="E55" s="205"/>
      <c r="F55" s="926" t="s">
        <v>102</v>
      </c>
      <c r="G55" s="927"/>
      <c r="H55" s="189">
        <v>-1</v>
      </c>
      <c r="I55" s="189">
        <v>-1</v>
      </c>
      <c r="J55" s="189">
        <v>-1</v>
      </c>
      <c r="K55" s="189">
        <v>-1</v>
      </c>
      <c r="L55" s="189">
        <v>-1</v>
      </c>
      <c r="M55" s="189">
        <v>-1</v>
      </c>
      <c r="N55" s="189">
        <v>-1</v>
      </c>
      <c r="O55" s="189">
        <v>-1</v>
      </c>
      <c r="P55" s="190" t="s">
        <v>642</v>
      </c>
      <c r="Q55" s="205"/>
      <c r="R55" s="205"/>
      <c r="S55" s="914" t="s">
        <v>103</v>
      </c>
      <c r="T55" s="916"/>
      <c r="U55" s="289" t="s">
        <v>104</v>
      </c>
      <c r="V55" s="291" t="s">
        <v>105</v>
      </c>
      <c r="W55" s="233"/>
    </row>
    <row r="56" spans="1:23" x14ac:dyDescent="0.25">
      <c r="A56" s="205"/>
      <c r="B56" s="29" t="s">
        <v>106</v>
      </c>
      <c r="C56" s="30">
        <v>-0.25</v>
      </c>
      <c r="D56" s="215"/>
      <c r="E56" s="216"/>
      <c r="F56" s="790" t="s">
        <v>107</v>
      </c>
      <c r="G56" s="791"/>
      <c r="H56" s="70">
        <v>-2</v>
      </c>
      <c r="I56" s="70">
        <v>-2</v>
      </c>
      <c r="J56" s="70">
        <v>-2</v>
      </c>
      <c r="K56" s="70">
        <v>-2</v>
      </c>
      <c r="L56" s="70">
        <v>-2</v>
      </c>
      <c r="M56" s="70">
        <v>-2</v>
      </c>
      <c r="N56" s="70">
        <v>-2</v>
      </c>
      <c r="O56" s="70">
        <v>-2</v>
      </c>
      <c r="P56" s="23" t="s">
        <v>642</v>
      </c>
      <c r="Q56" s="205"/>
      <c r="R56" s="205"/>
      <c r="S56" s="31" t="s">
        <v>108</v>
      </c>
      <c r="T56" s="32">
        <v>102</v>
      </c>
      <c r="U56" s="33" t="s">
        <v>109</v>
      </c>
      <c r="V56" s="34" t="s">
        <v>110</v>
      </c>
      <c r="W56" s="233"/>
    </row>
    <row r="57" spans="1:23" x14ac:dyDescent="0.25">
      <c r="A57" s="205"/>
      <c r="B57" s="29" t="s">
        <v>111</v>
      </c>
      <c r="C57" s="30">
        <v>-0.5</v>
      </c>
      <c r="D57" s="217"/>
      <c r="E57" s="205"/>
      <c r="F57" s="790" t="s">
        <v>112</v>
      </c>
      <c r="G57" s="791"/>
      <c r="H57" s="70">
        <v>-1</v>
      </c>
      <c r="I57" s="70">
        <v>-1</v>
      </c>
      <c r="J57" s="70">
        <v>-1</v>
      </c>
      <c r="K57" s="70">
        <v>-1</v>
      </c>
      <c r="L57" s="70">
        <v>-1</v>
      </c>
      <c r="M57" s="70">
        <v>-1</v>
      </c>
      <c r="N57" s="70">
        <v>-1</v>
      </c>
      <c r="O57" s="70">
        <v>-1</v>
      </c>
      <c r="P57" s="23" t="s">
        <v>642</v>
      </c>
      <c r="Q57" s="220"/>
      <c r="R57" s="205"/>
      <c r="S57" s="31" t="s">
        <v>90</v>
      </c>
      <c r="T57" s="35">
        <v>101</v>
      </c>
      <c r="U57" s="33" t="s">
        <v>113</v>
      </c>
      <c r="V57" s="34" t="s">
        <v>114</v>
      </c>
      <c r="W57" s="233"/>
    </row>
    <row r="58" spans="1:23" x14ac:dyDescent="0.25">
      <c r="A58" s="205"/>
      <c r="B58" s="928" t="s">
        <v>115</v>
      </c>
      <c r="C58" s="929"/>
      <c r="D58" s="218"/>
      <c r="E58" s="205"/>
      <c r="F58" s="790" t="s">
        <v>116</v>
      </c>
      <c r="G58" s="791"/>
      <c r="H58" s="70">
        <v>-0.5</v>
      </c>
      <c r="I58" s="70">
        <v>-0.5</v>
      </c>
      <c r="J58" s="70">
        <v>-0.5</v>
      </c>
      <c r="K58" s="70">
        <v>-0.5</v>
      </c>
      <c r="L58" s="70">
        <v>-0.5</v>
      </c>
      <c r="M58" s="70">
        <v>-0.5</v>
      </c>
      <c r="N58" s="70">
        <v>-0.5</v>
      </c>
      <c r="O58" s="70">
        <v>-0.5</v>
      </c>
      <c r="P58" s="23" t="s">
        <v>642</v>
      </c>
      <c r="Q58" s="220"/>
      <c r="R58" s="211"/>
      <c r="S58" s="31" t="s">
        <v>117</v>
      </c>
      <c r="T58" s="35">
        <v>101</v>
      </c>
      <c r="U58" s="33" t="s">
        <v>118</v>
      </c>
      <c r="V58" s="34" t="s">
        <v>119</v>
      </c>
      <c r="W58" s="233"/>
    </row>
    <row r="59" spans="1:23" x14ac:dyDescent="0.25">
      <c r="A59" s="205"/>
      <c r="B59" s="944" t="s">
        <v>120</v>
      </c>
      <c r="C59" s="945"/>
      <c r="D59" s="216"/>
      <c r="E59" s="205"/>
      <c r="F59" s="790" t="s">
        <v>121</v>
      </c>
      <c r="G59" s="791"/>
      <c r="H59" s="70">
        <v>0.25</v>
      </c>
      <c r="I59" s="70">
        <v>0.25</v>
      </c>
      <c r="J59" s="70">
        <v>0.25</v>
      </c>
      <c r="K59" s="70">
        <v>0.25</v>
      </c>
      <c r="L59" s="70">
        <v>0.25</v>
      </c>
      <c r="M59" s="70">
        <v>0.25</v>
      </c>
      <c r="N59" s="70">
        <v>0.25</v>
      </c>
      <c r="O59" s="70">
        <v>0.25</v>
      </c>
      <c r="P59" s="23" t="s">
        <v>642</v>
      </c>
      <c r="Q59" s="220"/>
      <c r="R59" s="211"/>
      <c r="S59" s="31" t="s">
        <v>122</v>
      </c>
      <c r="T59" s="35">
        <v>101</v>
      </c>
      <c r="U59" s="33" t="s">
        <v>123</v>
      </c>
      <c r="V59" s="36" t="s">
        <v>124</v>
      </c>
      <c r="W59" s="233"/>
    </row>
    <row r="60" spans="1:23" ht="15" customHeight="1" x14ac:dyDescent="0.25">
      <c r="A60" s="205"/>
      <c r="B60" s="624"/>
      <c r="C60" s="946"/>
      <c r="D60" s="216"/>
      <c r="E60" s="205"/>
      <c r="F60" s="790" t="s">
        <v>125</v>
      </c>
      <c r="G60" s="791"/>
      <c r="H60" s="70">
        <v>0.375</v>
      </c>
      <c r="I60" s="70">
        <v>0.375</v>
      </c>
      <c r="J60" s="70">
        <v>0.375</v>
      </c>
      <c r="K60" s="70">
        <v>0.375</v>
      </c>
      <c r="L60" s="70">
        <v>0.375</v>
      </c>
      <c r="M60" s="70">
        <v>0.375</v>
      </c>
      <c r="N60" s="70">
        <v>0.375</v>
      </c>
      <c r="O60" s="70">
        <v>0.375</v>
      </c>
      <c r="P60" s="23" t="s">
        <v>642</v>
      </c>
      <c r="Q60" s="205"/>
      <c r="R60" s="205"/>
      <c r="S60" s="31" t="s">
        <v>126</v>
      </c>
      <c r="T60" s="35">
        <v>100</v>
      </c>
      <c r="U60" s="33" t="s">
        <v>127</v>
      </c>
      <c r="V60" s="36" t="s">
        <v>128</v>
      </c>
      <c r="W60" s="233"/>
    </row>
    <row r="61" spans="1:23" ht="15" customHeight="1" x14ac:dyDescent="0.25">
      <c r="A61" s="205"/>
      <c r="B61" s="624"/>
      <c r="C61" s="946"/>
      <c r="D61" s="219"/>
      <c r="E61" s="205"/>
      <c r="F61" s="790" t="s">
        <v>129</v>
      </c>
      <c r="G61" s="791"/>
      <c r="H61" s="70">
        <v>0.625</v>
      </c>
      <c r="I61" s="70">
        <v>0.625</v>
      </c>
      <c r="J61" s="70">
        <v>0.625</v>
      </c>
      <c r="K61" s="70">
        <v>0.625</v>
      </c>
      <c r="L61" s="70">
        <v>0.625</v>
      </c>
      <c r="M61" s="70">
        <v>0.625</v>
      </c>
      <c r="N61" s="70">
        <v>0.625</v>
      </c>
      <c r="O61" s="70">
        <v>0.625</v>
      </c>
      <c r="P61" s="23" t="s">
        <v>642</v>
      </c>
      <c r="Q61" s="205"/>
      <c r="R61" s="205"/>
      <c r="S61" s="928" t="s">
        <v>134</v>
      </c>
      <c r="T61" s="940"/>
      <c r="U61" s="33" t="s">
        <v>119</v>
      </c>
      <c r="V61" s="37">
        <v>4</v>
      </c>
      <c r="W61" s="233"/>
    </row>
    <row r="62" spans="1:23" x14ac:dyDescent="0.25">
      <c r="A62" s="205"/>
      <c r="B62" s="624"/>
      <c r="C62" s="946"/>
      <c r="D62" s="220"/>
      <c r="E62" s="205"/>
      <c r="F62" s="790" t="s">
        <v>131</v>
      </c>
      <c r="G62" s="791"/>
      <c r="H62" s="70">
        <v>-1</v>
      </c>
      <c r="I62" s="70">
        <v>-1</v>
      </c>
      <c r="J62" s="70">
        <v>-1</v>
      </c>
      <c r="K62" s="70">
        <v>-1</v>
      </c>
      <c r="L62" s="70">
        <v>-1</v>
      </c>
      <c r="M62" s="70">
        <v>-1</v>
      </c>
      <c r="N62" s="70">
        <v>-1</v>
      </c>
      <c r="O62" s="70">
        <v>-1</v>
      </c>
      <c r="P62" s="23" t="s">
        <v>642</v>
      </c>
      <c r="Q62" s="205"/>
      <c r="R62" s="211"/>
      <c r="S62" s="31" t="s">
        <v>137</v>
      </c>
      <c r="T62" s="38">
        <v>99.75</v>
      </c>
      <c r="U62" s="298" t="s">
        <v>104</v>
      </c>
      <c r="V62" s="299" t="s">
        <v>101</v>
      </c>
      <c r="W62" s="233"/>
    </row>
    <row r="63" spans="1:23" ht="15" customHeight="1" x14ac:dyDescent="0.25">
      <c r="A63" s="205"/>
      <c r="B63" s="624"/>
      <c r="C63" s="946"/>
      <c r="D63" s="220"/>
      <c r="E63" s="205"/>
      <c r="F63" s="790" t="s">
        <v>133</v>
      </c>
      <c r="G63" s="791"/>
      <c r="H63" s="70">
        <v>-0.5</v>
      </c>
      <c r="I63" s="70">
        <v>-0.5</v>
      </c>
      <c r="J63" s="70">
        <v>-0.5</v>
      </c>
      <c r="K63" s="70">
        <v>-0.5</v>
      </c>
      <c r="L63" s="70">
        <v>-0.5</v>
      </c>
      <c r="M63" s="70">
        <v>-0.5</v>
      </c>
      <c r="N63" s="70">
        <v>-0.5</v>
      </c>
      <c r="O63" s="70">
        <v>-0.5</v>
      </c>
      <c r="P63" s="23" t="s">
        <v>642</v>
      </c>
      <c r="Q63" s="230"/>
      <c r="R63" s="211"/>
      <c r="S63" s="928" t="s">
        <v>139</v>
      </c>
      <c r="T63" s="940"/>
      <c r="U63" s="39" t="s">
        <v>135</v>
      </c>
      <c r="V63" s="40">
        <v>0.25</v>
      </c>
      <c r="W63" s="233"/>
    </row>
    <row r="64" spans="1:23" x14ac:dyDescent="0.25">
      <c r="A64" s="205"/>
      <c r="B64" s="624"/>
      <c r="C64" s="946"/>
      <c r="D64" s="216"/>
      <c r="E64" s="205"/>
      <c r="F64" s="790" t="s">
        <v>136</v>
      </c>
      <c r="G64" s="791"/>
      <c r="H64" s="70">
        <v>0.375</v>
      </c>
      <c r="I64" s="70">
        <v>0.375</v>
      </c>
      <c r="J64" s="70">
        <v>0.375</v>
      </c>
      <c r="K64" s="70">
        <v>0.375</v>
      </c>
      <c r="L64" s="70">
        <v>0.375</v>
      </c>
      <c r="M64" s="70">
        <v>0.375</v>
      </c>
      <c r="N64" s="70">
        <v>0.375</v>
      </c>
      <c r="O64" s="70">
        <v>0.375</v>
      </c>
      <c r="P64" s="23" t="s">
        <v>642</v>
      </c>
      <c r="Q64" s="231"/>
      <c r="R64" s="211"/>
      <c r="S64" s="41" t="s">
        <v>90</v>
      </c>
      <c r="T64" s="42">
        <v>6.75</v>
      </c>
      <c r="U64" s="39" t="s">
        <v>53</v>
      </c>
      <c r="V64" s="40">
        <v>0</v>
      </c>
      <c r="W64" s="233"/>
    </row>
    <row r="65" spans="1:34" x14ac:dyDescent="0.25">
      <c r="A65" s="205"/>
      <c r="B65" s="624"/>
      <c r="C65" s="946"/>
      <c r="D65" s="216"/>
      <c r="E65" s="205"/>
      <c r="F65" s="790" t="s">
        <v>138</v>
      </c>
      <c r="G65" s="791"/>
      <c r="H65" s="70">
        <v>0.5</v>
      </c>
      <c r="I65" s="70">
        <v>0.5</v>
      </c>
      <c r="J65" s="70">
        <v>0.5</v>
      </c>
      <c r="K65" s="70">
        <v>0.5</v>
      </c>
      <c r="L65" s="70">
        <v>0.5</v>
      </c>
      <c r="M65" s="70">
        <v>0.5</v>
      </c>
      <c r="N65" s="70">
        <v>0.5</v>
      </c>
      <c r="O65" s="70">
        <v>0.5</v>
      </c>
      <c r="P65" s="23" t="s">
        <v>642</v>
      </c>
      <c r="Q65" s="229"/>
      <c r="R65" s="205"/>
      <c r="S65" s="41" t="s">
        <v>122</v>
      </c>
      <c r="T65" s="42">
        <v>7.4989999999999997</v>
      </c>
      <c r="U65" s="39" t="s">
        <v>140</v>
      </c>
      <c r="V65" s="40">
        <v>-0.5</v>
      </c>
      <c r="W65" s="233"/>
    </row>
    <row r="66" spans="1:34" ht="15.75" customHeight="1" thickBot="1" x14ac:dyDescent="0.3">
      <c r="A66" s="205"/>
      <c r="B66" s="624"/>
      <c r="C66" s="946"/>
      <c r="D66" s="221"/>
      <c r="E66" s="205"/>
      <c r="F66" s="938" t="s">
        <v>141</v>
      </c>
      <c r="G66" s="939"/>
      <c r="H66" s="86">
        <v>0.875</v>
      </c>
      <c r="I66" s="86">
        <v>0.875</v>
      </c>
      <c r="J66" s="86">
        <v>0.875</v>
      </c>
      <c r="K66" s="86">
        <v>0.875</v>
      </c>
      <c r="L66" s="86">
        <v>0.875</v>
      </c>
      <c r="M66" s="86">
        <v>0.875</v>
      </c>
      <c r="N66" s="86">
        <v>0.875</v>
      </c>
      <c r="O66" s="86">
        <v>0.875</v>
      </c>
      <c r="P66" s="191" t="s">
        <v>642</v>
      </c>
      <c r="Q66" s="229"/>
      <c r="R66" s="205"/>
      <c r="S66" s="928" t="s">
        <v>146</v>
      </c>
      <c r="T66" s="940"/>
      <c r="U66" s="43" t="s">
        <v>142</v>
      </c>
      <c r="V66" s="40">
        <v>0</v>
      </c>
      <c r="W66" s="205"/>
    </row>
    <row r="67" spans="1:34" ht="15.75" customHeight="1" x14ac:dyDescent="0.25">
      <c r="A67" s="205"/>
      <c r="B67" s="624"/>
      <c r="C67" s="946"/>
      <c r="D67" s="222"/>
      <c r="E67" s="205"/>
      <c r="F67" s="941" t="s">
        <v>143</v>
      </c>
      <c r="G67" s="942"/>
      <c r="H67" s="942"/>
      <c r="I67" s="942"/>
      <c r="J67" s="942"/>
      <c r="K67" s="942"/>
      <c r="L67" s="942"/>
      <c r="M67" s="942"/>
      <c r="N67" s="942"/>
      <c r="O67" s="942"/>
      <c r="P67" s="943"/>
      <c r="Q67" s="229"/>
      <c r="R67" s="205"/>
      <c r="S67" s="643" t="s">
        <v>149</v>
      </c>
      <c r="T67" s="647"/>
      <c r="U67" s="39" t="s">
        <v>144</v>
      </c>
      <c r="V67" s="40">
        <v>-0.5</v>
      </c>
      <c r="W67" s="205"/>
      <c r="Y67" s="3"/>
    </row>
    <row r="68" spans="1:34" x14ac:dyDescent="0.25">
      <c r="A68" s="205"/>
      <c r="B68" s="624"/>
      <c r="C68" s="946"/>
      <c r="D68" s="216"/>
      <c r="E68" s="205"/>
      <c r="F68" s="790" t="s">
        <v>145</v>
      </c>
      <c r="G68" s="791"/>
      <c r="H68" s="22">
        <v>-0.25</v>
      </c>
      <c r="I68" s="22">
        <v>-0.25</v>
      </c>
      <c r="J68" s="22">
        <v>-0.25</v>
      </c>
      <c r="K68" s="22">
        <v>-0.375</v>
      </c>
      <c r="L68" s="22">
        <v>-0.5</v>
      </c>
      <c r="M68" s="22">
        <v>-0.5</v>
      </c>
      <c r="N68" s="22">
        <v>-0.5</v>
      </c>
      <c r="O68" s="22" t="s">
        <v>642</v>
      </c>
      <c r="P68" s="23" t="s">
        <v>642</v>
      </c>
      <c r="Q68" s="205"/>
      <c r="R68" s="205"/>
      <c r="S68" s="643" t="s">
        <v>152</v>
      </c>
      <c r="T68" s="647"/>
      <c r="U68" s="39" t="s">
        <v>147</v>
      </c>
      <c r="V68" s="40">
        <v>0</v>
      </c>
      <c r="W68" s="205"/>
      <c r="Y68" s="3"/>
      <c r="AD68" s="3"/>
      <c r="AE68" s="3"/>
      <c r="AF68" s="3"/>
      <c r="AG68" s="3"/>
      <c r="AH68" s="3"/>
    </row>
    <row r="69" spans="1:34" x14ac:dyDescent="0.25">
      <c r="A69" s="205"/>
      <c r="B69" s="624"/>
      <c r="C69" s="946"/>
      <c r="D69" s="221"/>
      <c r="E69" s="205"/>
      <c r="F69" s="790" t="s">
        <v>148</v>
      </c>
      <c r="G69" s="791"/>
      <c r="H69" s="22">
        <v>-0.25</v>
      </c>
      <c r="I69" s="22">
        <v>-0.25</v>
      </c>
      <c r="J69" s="22">
        <v>-0.5</v>
      </c>
      <c r="K69" s="22">
        <v>-0.5</v>
      </c>
      <c r="L69" s="22">
        <v>-0.75</v>
      </c>
      <c r="M69" s="22">
        <v>-0.75</v>
      </c>
      <c r="N69" s="22">
        <v>-0.75</v>
      </c>
      <c r="O69" s="22">
        <v>-1.25</v>
      </c>
      <c r="P69" s="23" t="s">
        <v>642</v>
      </c>
      <c r="Q69" s="205"/>
      <c r="R69" s="205"/>
      <c r="S69" s="643" t="s">
        <v>155</v>
      </c>
      <c r="T69" s="647"/>
      <c r="U69" s="39" t="s">
        <v>150</v>
      </c>
      <c r="V69" s="40">
        <v>-0.5</v>
      </c>
      <c r="W69" s="205"/>
      <c r="X69" s="3"/>
      <c r="Y69" s="3"/>
      <c r="AD69" s="3"/>
      <c r="AE69" s="3"/>
      <c r="AF69" s="3"/>
      <c r="AG69" s="3"/>
      <c r="AH69" s="3"/>
    </row>
    <row r="70" spans="1:34" ht="15.75" customHeight="1" x14ac:dyDescent="0.25">
      <c r="A70" s="205"/>
      <c r="B70" s="624"/>
      <c r="C70" s="946"/>
      <c r="D70" s="223"/>
      <c r="E70" s="205"/>
      <c r="F70" s="790" t="s">
        <v>151</v>
      </c>
      <c r="G70" s="791"/>
      <c r="H70" s="22">
        <v>-0.25</v>
      </c>
      <c r="I70" s="22">
        <v>-0.25</v>
      </c>
      <c r="J70" s="22">
        <v>-0.25</v>
      </c>
      <c r="K70" s="22">
        <v>-0.25</v>
      </c>
      <c r="L70" s="22">
        <v>-0.25</v>
      </c>
      <c r="M70" s="22">
        <v>-0.25</v>
      </c>
      <c r="N70" s="22">
        <v>-0.5</v>
      </c>
      <c r="O70" s="22">
        <v>-0.5</v>
      </c>
      <c r="P70" s="23">
        <v>-0.5</v>
      </c>
      <c r="Q70" s="205"/>
      <c r="R70" s="205"/>
      <c r="S70" s="643" t="s">
        <v>158</v>
      </c>
      <c r="T70" s="647"/>
      <c r="U70" s="300"/>
      <c r="V70" s="301"/>
      <c r="W70" s="205"/>
      <c r="X70" s="3"/>
      <c r="Y70" s="3"/>
      <c r="AD70" s="3"/>
      <c r="AE70" s="3"/>
      <c r="AF70" s="3"/>
      <c r="AG70" s="3"/>
      <c r="AH70" s="3"/>
    </row>
    <row r="71" spans="1:34" ht="15" customHeight="1" x14ac:dyDescent="0.25">
      <c r="A71" s="205"/>
      <c r="B71" s="914" t="s">
        <v>153</v>
      </c>
      <c r="C71" s="916"/>
      <c r="D71" s="224"/>
      <c r="E71" s="205"/>
      <c r="F71" s="790" t="s">
        <v>154</v>
      </c>
      <c r="G71" s="791"/>
      <c r="H71" s="22">
        <v>0</v>
      </c>
      <c r="I71" s="22">
        <v>0</v>
      </c>
      <c r="J71" s="22">
        <v>-0.25</v>
      </c>
      <c r="K71" s="22">
        <v>-0.25</v>
      </c>
      <c r="L71" s="22">
        <v>-0.25</v>
      </c>
      <c r="M71" s="22">
        <v>-0.25</v>
      </c>
      <c r="N71" s="22">
        <v>-0.25</v>
      </c>
      <c r="O71" s="22">
        <v>-0.5</v>
      </c>
      <c r="P71" s="23" t="s">
        <v>642</v>
      </c>
      <c r="Q71" s="205"/>
      <c r="R71" s="205"/>
      <c r="S71" s="643" t="s">
        <v>161</v>
      </c>
      <c r="T71" s="647"/>
      <c r="U71" s="300"/>
      <c r="V71" s="301"/>
      <c r="W71" s="205"/>
      <c r="X71" s="3"/>
      <c r="Y71" s="3"/>
      <c r="AD71" s="3"/>
      <c r="AE71" s="3"/>
      <c r="AF71" s="3"/>
      <c r="AG71" s="3"/>
      <c r="AH71" s="3"/>
    </row>
    <row r="72" spans="1:34" ht="17.25" customHeight="1" x14ac:dyDescent="0.25">
      <c r="A72" s="205"/>
      <c r="B72" s="947" t="s">
        <v>156</v>
      </c>
      <c r="C72" s="948"/>
      <c r="D72" s="224"/>
      <c r="E72" s="205"/>
      <c r="F72" s="790" t="s">
        <v>157</v>
      </c>
      <c r="G72" s="791"/>
      <c r="H72" s="22">
        <v>-1.5</v>
      </c>
      <c r="I72" s="22">
        <v>-1.5</v>
      </c>
      <c r="J72" s="22">
        <v>-1.5</v>
      </c>
      <c r="K72" s="22">
        <v>-1.5</v>
      </c>
      <c r="L72" s="22">
        <v>-1.5</v>
      </c>
      <c r="M72" s="22">
        <v>-2</v>
      </c>
      <c r="N72" s="22">
        <v>-2.25</v>
      </c>
      <c r="O72" s="22">
        <v>-2.25</v>
      </c>
      <c r="P72" s="23" t="s">
        <v>642</v>
      </c>
      <c r="Q72" s="205"/>
      <c r="R72" s="205"/>
      <c r="S72" s="928" t="s">
        <v>163</v>
      </c>
      <c r="T72" s="949"/>
      <c r="U72" s="300"/>
      <c r="V72" s="301"/>
      <c r="W72" s="205"/>
      <c r="X72" s="3"/>
      <c r="Y72" s="3"/>
      <c r="AD72" s="3"/>
      <c r="AE72" s="3"/>
      <c r="AF72" s="3"/>
      <c r="AG72" s="3"/>
      <c r="AH72" s="3"/>
    </row>
    <row r="73" spans="1:34" ht="15" customHeight="1" x14ac:dyDescent="0.25">
      <c r="A73" s="205"/>
      <c r="B73" s="936" t="s">
        <v>159</v>
      </c>
      <c r="C73" s="937"/>
      <c r="D73" s="224"/>
      <c r="E73" s="211"/>
      <c r="F73" s="790" t="s">
        <v>160</v>
      </c>
      <c r="G73" s="791"/>
      <c r="H73" s="22">
        <v>-1.5</v>
      </c>
      <c r="I73" s="22">
        <v>-1.5</v>
      </c>
      <c r="J73" s="22">
        <v>-1.5</v>
      </c>
      <c r="K73" s="22">
        <v>-1.5</v>
      </c>
      <c r="L73" s="22">
        <v>-1.5</v>
      </c>
      <c r="M73" s="22">
        <v>-1.75</v>
      </c>
      <c r="N73" s="22" t="s">
        <v>642</v>
      </c>
      <c r="O73" s="22" t="s">
        <v>642</v>
      </c>
      <c r="P73" s="23" t="s">
        <v>642</v>
      </c>
      <c r="Q73" s="205"/>
      <c r="R73" s="205"/>
      <c r="S73" s="643" t="s">
        <v>164</v>
      </c>
      <c r="T73" s="647"/>
      <c r="U73" s="302"/>
      <c r="V73" s="303"/>
      <c r="W73" s="205"/>
      <c r="X73" s="3"/>
      <c r="Y73" s="3"/>
      <c r="AD73" s="3"/>
      <c r="AE73" s="3"/>
      <c r="AF73" s="3"/>
      <c r="AG73" s="3"/>
      <c r="AH73" s="3"/>
    </row>
    <row r="74" spans="1:34" ht="15" customHeight="1" x14ac:dyDescent="0.25">
      <c r="A74" s="205"/>
      <c r="B74" s="628" t="s">
        <v>162</v>
      </c>
      <c r="C74" s="628"/>
      <c r="D74" s="224"/>
      <c r="E74" s="211"/>
      <c r="F74" s="790" t="s">
        <v>69</v>
      </c>
      <c r="G74" s="791"/>
      <c r="H74" s="22">
        <v>-0.5</v>
      </c>
      <c r="I74" s="22">
        <v>-0.5</v>
      </c>
      <c r="J74" s="22">
        <v>-0.5</v>
      </c>
      <c r="K74" s="22">
        <v>-0.5</v>
      </c>
      <c r="L74" s="22">
        <v>-0.5</v>
      </c>
      <c r="M74" s="22">
        <v>-0.5</v>
      </c>
      <c r="N74" s="22">
        <v>-0.5</v>
      </c>
      <c r="O74" s="22">
        <v>-0.5</v>
      </c>
      <c r="P74" s="23">
        <v>-0.5</v>
      </c>
      <c r="Q74" s="205"/>
      <c r="R74" s="205"/>
      <c r="S74" s="643" t="s">
        <v>165</v>
      </c>
      <c r="T74" s="647"/>
      <c r="U74" s="302"/>
      <c r="V74" s="303"/>
      <c r="W74" s="205"/>
      <c r="X74" s="3"/>
      <c r="Y74" s="3"/>
      <c r="AD74" s="3"/>
      <c r="AE74" s="3"/>
      <c r="AF74" s="3"/>
      <c r="AG74" s="3"/>
      <c r="AH74" s="3"/>
    </row>
    <row r="75" spans="1:34" ht="15" customHeight="1" x14ac:dyDescent="0.25">
      <c r="A75" s="205"/>
      <c r="B75" s="628"/>
      <c r="C75" s="628"/>
      <c r="D75" s="224"/>
      <c r="E75" s="211"/>
      <c r="F75" s="928" t="s">
        <v>33</v>
      </c>
      <c r="G75" s="949"/>
      <c r="H75" s="949"/>
      <c r="I75" s="949"/>
      <c r="J75" s="949"/>
      <c r="K75" s="949"/>
      <c r="L75" s="949"/>
      <c r="M75" s="949"/>
      <c r="N75" s="949"/>
      <c r="O75" s="949"/>
      <c r="P75" s="929"/>
      <c r="Q75" s="205"/>
      <c r="R75" s="205"/>
      <c r="S75" s="645" t="s">
        <v>167</v>
      </c>
      <c r="T75" s="646"/>
      <c r="U75" s="302"/>
      <c r="V75" s="303"/>
      <c r="W75" s="205"/>
      <c r="X75" s="3"/>
      <c r="Y75" s="3"/>
      <c r="AD75" s="3"/>
      <c r="AE75" s="3"/>
      <c r="AF75" s="3"/>
      <c r="AG75" s="3"/>
      <c r="AH75" s="3"/>
    </row>
    <row r="76" spans="1:34" ht="15" customHeight="1" x14ac:dyDescent="0.25">
      <c r="A76" s="205"/>
      <c r="B76" s="628"/>
      <c r="C76" s="628"/>
      <c r="D76" s="224"/>
      <c r="E76" s="211"/>
      <c r="F76" s="790" t="s">
        <v>34</v>
      </c>
      <c r="G76" s="791"/>
      <c r="H76" s="22">
        <v>0</v>
      </c>
      <c r="I76" s="22">
        <v>0</v>
      </c>
      <c r="J76" s="22">
        <v>0</v>
      </c>
      <c r="K76" s="22">
        <v>0</v>
      </c>
      <c r="L76" s="22">
        <v>0</v>
      </c>
      <c r="M76" s="22">
        <v>0</v>
      </c>
      <c r="N76" s="22">
        <v>0</v>
      </c>
      <c r="O76" s="22">
        <v>0</v>
      </c>
      <c r="P76" s="23">
        <v>0</v>
      </c>
      <c r="Q76" s="205"/>
      <c r="R76" s="205"/>
      <c r="S76" s="300"/>
      <c r="T76" s="302"/>
      <c r="U76" s="302"/>
      <c r="V76" s="302"/>
      <c r="W76" s="205"/>
      <c r="X76" s="3"/>
      <c r="Y76" s="3"/>
      <c r="AD76" s="3"/>
      <c r="AE76" s="3"/>
      <c r="AF76" s="3"/>
      <c r="AG76" s="3"/>
      <c r="AH76" s="3"/>
    </row>
    <row r="77" spans="1:34" ht="15" customHeight="1" thickBot="1" x14ac:dyDescent="0.3">
      <c r="A77" s="205"/>
      <c r="B77" s="628"/>
      <c r="C77" s="628"/>
      <c r="D77" s="224"/>
      <c r="E77" s="211"/>
      <c r="F77" s="790" t="s">
        <v>166</v>
      </c>
      <c r="G77" s="791"/>
      <c r="H77" s="22">
        <v>-1.25</v>
      </c>
      <c r="I77" s="22">
        <v>-1.25</v>
      </c>
      <c r="J77" s="22">
        <v>-1.25</v>
      </c>
      <c r="K77" s="22">
        <v>-1.25</v>
      </c>
      <c r="L77" s="22">
        <v>-1.25</v>
      </c>
      <c r="M77" s="22">
        <v>-1.25</v>
      </c>
      <c r="N77" s="22">
        <v>-1.5</v>
      </c>
      <c r="O77" s="22">
        <v>-2</v>
      </c>
      <c r="P77" s="23" t="s">
        <v>642</v>
      </c>
      <c r="Q77" s="205"/>
      <c r="R77" s="205"/>
      <c r="S77" s="306"/>
      <c r="T77" s="304"/>
      <c r="U77" s="304"/>
      <c r="V77" s="305"/>
      <c r="W77" s="205"/>
      <c r="X77" s="3"/>
      <c r="Y77" s="3"/>
      <c r="AD77" s="3"/>
      <c r="AE77" s="3"/>
      <c r="AF77" s="3"/>
      <c r="AG77" s="3"/>
      <c r="AH77" s="3"/>
    </row>
    <row r="78" spans="1:34" ht="15" customHeight="1" x14ac:dyDescent="0.25">
      <c r="A78" s="205"/>
      <c r="B78" s="628"/>
      <c r="C78" s="628"/>
      <c r="D78" s="224"/>
      <c r="E78" s="211"/>
      <c r="F78" s="790" t="s">
        <v>168</v>
      </c>
      <c r="G78" s="791"/>
      <c r="H78" s="22">
        <v>-1.75</v>
      </c>
      <c r="I78" s="22">
        <v>-1.75</v>
      </c>
      <c r="J78" s="22">
        <v>-1.75</v>
      </c>
      <c r="K78" s="22">
        <v>-1.75</v>
      </c>
      <c r="L78" s="22">
        <v>-1.75</v>
      </c>
      <c r="M78" s="22">
        <v>-2</v>
      </c>
      <c r="N78" s="22">
        <v>-2</v>
      </c>
      <c r="O78" s="22" t="s">
        <v>642</v>
      </c>
      <c r="P78" s="23" t="s">
        <v>642</v>
      </c>
      <c r="Q78" s="205"/>
      <c r="R78" s="205"/>
      <c r="S78" s="307"/>
      <c r="T78" s="302"/>
      <c r="U78" s="302"/>
      <c r="V78" s="303"/>
      <c r="W78" s="205"/>
      <c r="X78" s="3"/>
      <c r="Y78" s="3"/>
      <c r="AD78" s="3"/>
      <c r="AE78" s="3"/>
      <c r="AF78" s="3"/>
      <c r="AG78" s="3"/>
      <c r="AH78" s="3"/>
    </row>
    <row r="79" spans="1:34" ht="15" customHeight="1" x14ac:dyDescent="0.25">
      <c r="A79" s="205"/>
      <c r="B79" s="628"/>
      <c r="C79" s="628"/>
      <c r="D79" s="224"/>
      <c r="E79" s="211"/>
      <c r="F79" s="790" t="s">
        <v>169</v>
      </c>
      <c r="G79" s="791"/>
      <c r="H79" s="22">
        <v>-1.5</v>
      </c>
      <c r="I79" s="22">
        <v>-1.75</v>
      </c>
      <c r="J79" s="22">
        <v>-1.75</v>
      </c>
      <c r="K79" s="22">
        <v>-1.75</v>
      </c>
      <c r="L79" s="22">
        <v>-1.75</v>
      </c>
      <c r="M79" s="22">
        <v>-2</v>
      </c>
      <c r="N79" s="22">
        <v>-2</v>
      </c>
      <c r="O79" s="22" t="s">
        <v>642</v>
      </c>
      <c r="P79" s="23" t="s">
        <v>642</v>
      </c>
      <c r="Q79" s="205"/>
      <c r="R79" s="205"/>
      <c r="S79" s="307"/>
      <c r="T79" s="302"/>
      <c r="U79" s="302"/>
      <c r="V79" s="303"/>
      <c r="W79" s="205"/>
      <c r="AD79" s="3"/>
      <c r="AE79" s="3"/>
      <c r="AF79" s="3"/>
      <c r="AG79" s="3"/>
      <c r="AH79" s="3"/>
    </row>
    <row r="80" spans="1:34" ht="15" customHeight="1" x14ac:dyDescent="0.25">
      <c r="A80" s="205"/>
      <c r="B80" s="312"/>
      <c r="C80" s="301"/>
      <c r="D80" s="224"/>
      <c r="E80" s="211"/>
      <c r="F80" s="790" t="s">
        <v>170</v>
      </c>
      <c r="G80" s="791"/>
      <c r="H80" s="22">
        <v>0</v>
      </c>
      <c r="I80" s="22">
        <v>0</v>
      </c>
      <c r="J80" s="22">
        <v>0</v>
      </c>
      <c r="K80" s="22">
        <v>0</v>
      </c>
      <c r="L80" s="22">
        <v>0</v>
      </c>
      <c r="M80" s="22">
        <v>0</v>
      </c>
      <c r="N80" s="22">
        <v>0</v>
      </c>
      <c r="O80" s="22">
        <v>0</v>
      </c>
      <c r="P80" s="23">
        <v>0</v>
      </c>
      <c r="Q80" s="205"/>
      <c r="R80" s="205"/>
      <c r="S80" s="307"/>
      <c r="T80" s="302"/>
      <c r="U80" s="302"/>
      <c r="V80" s="303"/>
      <c r="W80" s="205"/>
    </row>
    <row r="81" spans="1:23" ht="15" customHeight="1" thickBot="1" x14ac:dyDescent="0.3">
      <c r="A81" s="205"/>
      <c r="B81" s="312"/>
      <c r="C81" s="301"/>
      <c r="D81" s="224"/>
      <c r="E81" s="211"/>
      <c r="F81" s="936" t="s">
        <v>36</v>
      </c>
      <c r="G81" s="937"/>
      <c r="H81" s="937"/>
      <c r="I81" s="937"/>
      <c r="J81" s="937"/>
      <c r="K81" s="937"/>
      <c r="L81" s="937"/>
      <c r="M81" s="937"/>
      <c r="N81" s="937"/>
      <c r="O81" s="937"/>
      <c r="P81" s="950"/>
      <c r="Q81" s="205"/>
      <c r="R81" s="205"/>
      <c r="S81" s="307"/>
      <c r="T81" s="302"/>
      <c r="U81" s="302"/>
      <c r="V81" s="303"/>
      <c r="W81" s="205"/>
    </row>
    <row r="82" spans="1:23" ht="15" customHeight="1" x14ac:dyDescent="0.25">
      <c r="A82" s="205"/>
      <c r="B82" s="312"/>
      <c r="C82" s="301"/>
      <c r="D82" s="224"/>
      <c r="E82" s="211"/>
      <c r="F82" s="951" t="s">
        <v>171</v>
      </c>
      <c r="G82" s="952"/>
      <c r="H82" s="192">
        <v>-1.5</v>
      </c>
      <c r="I82" s="192">
        <v>-1.5</v>
      </c>
      <c r="J82" s="192">
        <v>-2</v>
      </c>
      <c r="K82" s="192">
        <v>-2</v>
      </c>
      <c r="L82" s="192">
        <v>-2</v>
      </c>
      <c r="M82" s="192">
        <v>-2</v>
      </c>
      <c r="N82" s="192" t="s">
        <v>642</v>
      </c>
      <c r="O82" s="192" t="s">
        <v>642</v>
      </c>
      <c r="P82" s="190" t="s">
        <v>642</v>
      </c>
      <c r="Q82" s="205"/>
      <c r="R82" s="205"/>
      <c r="S82" s="307"/>
      <c r="T82" s="302"/>
      <c r="U82" s="302"/>
      <c r="V82" s="303"/>
      <c r="W82" s="205"/>
    </row>
    <row r="83" spans="1:23" ht="15" customHeight="1" x14ac:dyDescent="0.25">
      <c r="A83" s="205"/>
      <c r="B83" s="312"/>
      <c r="C83" s="301"/>
      <c r="D83" s="224"/>
      <c r="E83" s="211"/>
      <c r="F83" s="953" t="s">
        <v>172</v>
      </c>
      <c r="G83" s="954"/>
      <c r="H83" s="22">
        <v>-1</v>
      </c>
      <c r="I83" s="22">
        <v>-1</v>
      </c>
      <c r="J83" s="22">
        <v>-1</v>
      </c>
      <c r="K83" s="22">
        <v>-1.25</v>
      </c>
      <c r="L83" s="22">
        <v>-1.25</v>
      </c>
      <c r="M83" s="22">
        <v>-1.25</v>
      </c>
      <c r="N83" s="22">
        <v>-1.5</v>
      </c>
      <c r="O83" s="22" t="s">
        <v>642</v>
      </c>
      <c r="P83" s="23" t="s">
        <v>642</v>
      </c>
      <c r="Q83" s="205"/>
      <c r="R83" s="205"/>
      <c r="S83" s="307"/>
      <c r="T83" s="302"/>
      <c r="U83" s="302"/>
      <c r="V83" s="303"/>
      <c r="W83" s="205"/>
    </row>
    <row r="84" spans="1:23" ht="15" customHeight="1" x14ac:dyDescent="0.25">
      <c r="A84" s="205"/>
      <c r="B84" s="312"/>
      <c r="C84" s="301"/>
      <c r="D84" s="224"/>
      <c r="E84" s="211"/>
      <c r="F84" s="953" t="s">
        <v>173</v>
      </c>
      <c r="G84" s="954"/>
      <c r="H84" s="22">
        <v>-0.25</v>
      </c>
      <c r="I84" s="22">
        <v>-0.25</v>
      </c>
      <c r="J84" s="22">
        <v>-0.25</v>
      </c>
      <c r="K84" s="22">
        <v>-0.25</v>
      </c>
      <c r="L84" s="22">
        <v>-0.25</v>
      </c>
      <c r="M84" s="22">
        <v>-0.5</v>
      </c>
      <c r="N84" s="22">
        <v>-0.5</v>
      </c>
      <c r="O84" s="22">
        <v>-0.5</v>
      </c>
      <c r="P84" s="23">
        <v>-0.5</v>
      </c>
      <c r="Q84" s="205"/>
      <c r="R84" s="205"/>
      <c r="S84" s="307"/>
      <c r="T84" s="302"/>
      <c r="U84" s="302"/>
      <c r="V84" s="303"/>
      <c r="W84" s="205"/>
    </row>
    <row r="85" spans="1:23" ht="15" customHeight="1" thickBot="1" x14ac:dyDescent="0.3">
      <c r="A85" s="205"/>
      <c r="B85" s="312"/>
      <c r="C85" s="301"/>
      <c r="D85" s="224"/>
      <c r="E85" s="211"/>
      <c r="F85" s="955" t="s">
        <v>174</v>
      </c>
      <c r="G85" s="956"/>
      <c r="H85" s="44">
        <v>0</v>
      </c>
      <c r="I85" s="44">
        <v>0</v>
      </c>
      <c r="J85" s="44">
        <v>0</v>
      </c>
      <c r="K85" s="44">
        <v>0</v>
      </c>
      <c r="L85" s="44">
        <v>0</v>
      </c>
      <c r="M85" s="44">
        <v>0</v>
      </c>
      <c r="N85" s="44">
        <v>0</v>
      </c>
      <c r="O85" s="44">
        <v>0</v>
      </c>
      <c r="P85" s="45">
        <v>0</v>
      </c>
      <c r="Q85" s="205"/>
      <c r="R85" s="205"/>
      <c r="S85" s="307"/>
      <c r="T85" s="302"/>
      <c r="U85" s="302"/>
      <c r="V85" s="303"/>
      <c r="W85" s="205"/>
    </row>
    <row r="86" spans="1:23" ht="15" customHeight="1" x14ac:dyDescent="0.25">
      <c r="A86" s="205"/>
      <c r="B86" s="312"/>
      <c r="C86" s="301"/>
      <c r="D86" s="224"/>
      <c r="E86" s="211"/>
      <c r="F86" s="308"/>
      <c r="G86" s="309"/>
      <c r="H86" s="309"/>
      <c r="I86" s="309"/>
      <c r="J86" s="309"/>
      <c r="K86" s="309"/>
      <c r="L86" s="309"/>
      <c r="M86" s="309"/>
      <c r="N86" s="309"/>
      <c r="O86" s="309"/>
      <c r="P86" s="310"/>
      <c r="Q86" s="205"/>
      <c r="R86" s="205"/>
      <c r="S86" s="307"/>
      <c r="T86" s="302"/>
      <c r="U86" s="302"/>
      <c r="V86" s="303"/>
      <c r="W86" s="205"/>
    </row>
    <row r="87" spans="1:23" ht="15" customHeight="1" x14ac:dyDescent="0.25">
      <c r="A87" s="205"/>
      <c r="B87" s="312"/>
      <c r="C87" s="301"/>
      <c r="D87" s="224"/>
      <c r="E87" s="211"/>
      <c r="F87" s="307"/>
      <c r="G87" s="302"/>
      <c r="H87" s="302"/>
      <c r="I87" s="302"/>
      <c r="J87" s="302"/>
      <c r="K87" s="302"/>
      <c r="L87" s="302"/>
      <c r="M87" s="302"/>
      <c r="N87" s="302"/>
      <c r="O87" s="302"/>
      <c r="P87" s="303"/>
      <c r="Q87" s="205"/>
      <c r="R87" s="205"/>
      <c r="S87" s="307"/>
      <c r="T87" s="302"/>
      <c r="U87" s="302"/>
      <c r="V87" s="303"/>
      <c r="W87" s="205"/>
    </row>
    <row r="88" spans="1:23" ht="15" customHeight="1" x14ac:dyDescent="0.25">
      <c r="A88" s="205"/>
      <c r="B88" s="312"/>
      <c r="C88" s="301"/>
      <c r="D88" s="224"/>
      <c r="E88" s="211"/>
      <c r="F88" s="307"/>
      <c r="G88" s="302"/>
      <c r="H88" s="302"/>
      <c r="I88" s="302"/>
      <c r="J88" s="302"/>
      <c r="K88" s="302"/>
      <c r="L88" s="302"/>
      <c r="M88" s="302"/>
      <c r="N88" s="302"/>
      <c r="O88" s="302"/>
      <c r="P88" s="303"/>
      <c r="Q88" s="205"/>
      <c r="R88" s="205"/>
      <c r="S88" s="307"/>
      <c r="T88" s="302"/>
      <c r="U88" s="302"/>
      <c r="V88" s="303"/>
      <c r="W88" s="205"/>
    </row>
    <row r="89" spans="1:23" ht="15.75" thickBot="1" x14ac:dyDescent="0.3">
      <c r="A89" s="205"/>
      <c r="B89" s="312"/>
      <c r="C89" s="301"/>
      <c r="D89" s="224"/>
      <c r="E89" s="211"/>
      <c r="F89" s="311"/>
      <c r="G89" s="304"/>
      <c r="H89" s="304"/>
      <c r="I89" s="304"/>
      <c r="J89" s="304"/>
      <c r="K89" s="304"/>
      <c r="L89" s="304"/>
      <c r="M89" s="304"/>
      <c r="N89" s="304"/>
      <c r="O89" s="304"/>
      <c r="P89" s="305"/>
      <c r="Q89" s="205"/>
      <c r="R89" s="205"/>
      <c r="S89" s="307"/>
      <c r="T89" s="302"/>
      <c r="U89" s="302"/>
      <c r="V89" s="303"/>
      <c r="W89" s="205"/>
    </row>
    <row r="90" spans="1:23" x14ac:dyDescent="0.25">
      <c r="B90" s="3"/>
      <c r="C90" s="3"/>
      <c r="D90" s="3"/>
      <c r="E90" s="3"/>
      <c r="Q90" s="50"/>
    </row>
    <row r="91" spans="1:23" ht="15.75" x14ac:dyDescent="0.25">
      <c r="B91" s="57"/>
      <c r="C91" s="57"/>
      <c r="D91" s="57"/>
      <c r="E91" s="3"/>
      <c r="Q91" s="50"/>
      <c r="S91" s="3"/>
      <c r="T91" s="3"/>
    </row>
    <row r="92" spans="1:23" x14ac:dyDescent="0.25">
      <c r="B92" s="58"/>
      <c r="C92" s="58"/>
      <c r="D92" s="58"/>
      <c r="E92" s="3"/>
      <c r="Q92" s="58"/>
    </row>
    <row r="93" spans="1:23" x14ac:dyDescent="0.25">
      <c r="B93" s="58"/>
      <c r="C93" s="58"/>
      <c r="D93" s="58"/>
    </row>
    <row r="94" spans="1:23" ht="18.75" customHeight="1" x14ac:dyDescent="0.25">
      <c r="B94" s="58"/>
      <c r="C94" s="58"/>
      <c r="D94" s="58"/>
      <c r="E94" s="3"/>
    </row>
    <row r="95" spans="1:23" x14ac:dyDescent="0.25">
      <c r="B95" s="58"/>
      <c r="C95" s="58"/>
      <c r="D95" s="58"/>
      <c r="E95" s="3"/>
    </row>
    <row r="96" spans="1:23" ht="14.25" customHeight="1" x14ac:dyDescent="0.25">
      <c r="B96" s="58"/>
      <c r="C96" s="58"/>
      <c r="D96" s="58"/>
      <c r="E96" s="3"/>
      <c r="S96" s="3"/>
      <c r="T96" s="3"/>
    </row>
    <row r="97" spans="2:16" ht="15" customHeight="1" x14ac:dyDescent="0.25">
      <c r="B97" s="58"/>
      <c r="C97" s="58"/>
      <c r="D97" s="58"/>
      <c r="E97" s="3"/>
    </row>
    <row r="98" spans="2:16" ht="15" customHeight="1" x14ac:dyDescent="0.25">
      <c r="B98" s="58"/>
      <c r="C98" s="58"/>
      <c r="D98" s="58"/>
      <c r="E98" s="3"/>
    </row>
    <row r="99" spans="2:16" ht="14.25" customHeight="1" x14ac:dyDescent="0.25">
      <c r="B99" s="3"/>
      <c r="C99" s="3"/>
      <c r="D99" s="3"/>
      <c r="E99" s="3"/>
      <c r="F99" s="3"/>
      <c r="G99" s="51"/>
      <c r="H99" s="52"/>
      <c r="I99" s="52"/>
      <c r="J99" s="52"/>
      <c r="K99" s="52"/>
      <c r="L99" s="52"/>
      <c r="M99" s="52"/>
      <c r="N99" s="52"/>
      <c r="O99" s="52"/>
    </row>
    <row r="100" spans="2:16" ht="14.25" customHeight="1" x14ac:dyDescent="0.25">
      <c r="B100" s="3"/>
      <c r="C100" s="3"/>
      <c r="D100" s="3"/>
      <c r="E100" s="3"/>
      <c r="F100" s="3"/>
      <c r="G100" s="3"/>
      <c r="H100" s="51"/>
      <c r="I100" s="52"/>
      <c r="J100" s="52"/>
      <c r="K100" s="52"/>
      <c r="L100" s="52"/>
      <c r="M100" s="52"/>
      <c r="N100" s="52"/>
      <c r="O100" s="52"/>
      <c r="P100" s="52"/>
    </row>
    <row r="101" spans="2:16" ht="14.25" customHeight="1" x14ac:dyDescent="0.25">
      <c r="B101" s="59"/>
      <c r="C101" s="59"/>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4.25" customHeight="1" x14ac:dyDescent="0.25">
      <c r="B105" s="53"/>
      <c r="C105" s="54"/>
      <c r="D105" s="3"/>
      <c r="E105" s="3"/>
      <c r="H105" s="52"/>
      <c r="I105" s="52"/>
      <c r="J105" s="52"/>
      <c r="K105" s="52"/>
      <c r="L105" s="52"/>
      <c r="M105" s="52"/>
      <c r="N105" s="52"/>
      <c r="O105" s="52"/>
      <c r="P105" s="52"/>
    </row>
    <row r="106" spans="2:16" ht="15" customHeight="1" x14ac:dyDescent="0.25">
      <c r="B106" s="53"/>
      <c r="C106" s="54"/>
      <c r="D106" s="3"/>
      <c r="E106" s="3"/>
      <c r="H106" s="52"/>
      <c r="I106" s="52"/>
      <c r="J106" s="52"/>
      <c r="K106" s="52"/>
      <c r="L106" s="52"/>
      <c r="M106" s="52"/>
      <c r="N106" s="52"/>
      <c r="O106" s="52"/>
      <c r="P106" s="52"/>
    </row>
    <row r="107" spans="2:16" x14ac:dyDescent="0.25">
      <c r="B107" s="53"/>
      <c r="C107" s="60"/>
      <c r="D107" s="3"/>
      <c r="E107" s="3"/>
      <c r="H107" s="52"/>
      <c r="I107" s="52"/>
      <c r="J107" s="52"/>
      <c r="K107" s="52"/>
      <c r="L107" s="52"/>
      <c r="M107" s="52"/>
      <c r="N107" s="52"/>
      <c r="O107" s="52"/>
      <c r="P107" s="52"/>
    </row>
    <row r="108" spans="2:16" x14ac:dyDescent="0.25">
      <c r="B108" s="59"/>
      <c r="C108" s="59"/>
      <c r="D108" s="3"/>
      <c r="E108" s="3"/>
      <c r="H108" s="52"/>
      <c r="I108" s="52"/>
      <c r="J108" s="52"/>
      <c r="K108" s="52"/>
      <c r="L108" s="52"/>
      <c r="M108" s="52"/>
      <c r="N108" s="52"/>
      <c r="O108" s="52"/>
      <c r="P108" s="52"/>
    </row>
    <row r="109" spans="2:16" x14ac:dyDescent="0.25">
      <c r="B109" s="53"/>
      <c r="C109" s="54"/>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E117" s="3"/>
      <c r="H117" s="52"/>
      <c r="I117" s="52"/>
      <c r="J117" s="52"/>
      <c r="K117" s="52"/>
      <c r="L117" s="52"/>
      <c r="M117" s="52"/>
      <c r="N117" s="52"/>
      <c r="O117" s="52"/>
      <c r="P117" s="52"/>
    </row>
    <row r="118" spans="2:16" x14ac:dyDescent="0.25">
      <c r="B118" s="3"/>
      <c r="C118" s="3"/>
      <c r="D118" s="3"/>
      <c r="H118" s="52"/>
      <c r="I118" s="52"/>
      <c r="J118" s="52"/>
      <c r="K118" s="52"/>
      <c r="L118" s="52"/>
      <c r="M118" s="52"/>
      <c r="N118" s="52"/>
      <c r="O118" s="52"/>
      <c r="P118" s="52"/>
    </row>
    <row r="119" spans="2:16" x14ac:dyDescent="0.25">
      <c r="H119" s="52"/>
      <c r="I119" s="52"/>
      <c r="J119" s="52"/>
      <c r="K119" s="52"/>
      <c r="L119" s="52"/>
      <c r="M119" s="52"/>
      <c r="N119" s="52"/>
      <c r="O119" s="52"/>
      <c r="P119" s="52"/>
    </row>
    <row r="120" spans="2:16" x14ac:dyDescent="0.25">
      <c r="H120" s="52"/>
      <c r="I120" s="52"/>
      <c r="J120" s="52"/>
      <c r="K120" s="52"/>
      <c r="L120" s="52"/>
      <c r="M120" s="52"/>
      <c r="N120" s="52"/>
      <c r="O120" s="52"/>
      <c r="P120" s="52"/>
    </row>
    <row r="121" spans="2:16" ht="18" customHeight="1" x14ac:dyDescent="0.25">
      <c r="H121" s="52"/>
      <c r="I121" s="52"/>
      <c r="J121" s="52"/>
      <c r="K121" s="52"/>
      <c r="L121" s="52"/>
      <c r="M121" s="52"/>
      <c r="N121" s="52"/>
      <c r="O121" s="52"/>
      <c r="P121" s="52"/>
    </row>
    <row r="122" spans="2:16" ht="15.75" customHeight="1" x14ac:dyDescent="0.25">
      <c r="H122" s="52"/>
      <c r="I122" s="52"/>
      <c r="J122" s="52"/>
      <c r="K122" s="52"/>
      <c r="L122" s="52"/>
      <c r="M122" s="52"/>
      <c r="N122" s="52"/>
      <c r="O122" s="52"/>
      <c r="P122" s="52"/>
    </row>
    <row r="123" spans="2:16" ht="16.5" customHeight="1" x14ac:dyDescent="0.25">
      <c r="H123" s="52"/>
      <c r="I123" s="52"/>
      <c r="J123" s="52"/>
      <c r="K123" s="52"/>
      <c r="L123" s="52"/>
      <c r="M123" s="52"/>
      <c r="N123" s="52"/>
      <c r="O123" s="52"/>
      <c r="P123" s="52"/>
    </row>
    <row r="124" spans="2:16" x14ac:dyDescent="0.25">
      <c r="H124" s="52"/>
      <c r="I124" s="52"/>
      <c r="J124" s="52"/>
      <c r="K124" s="52"/>
      <c r="L124" s="52"/>
      <c r="M124" s="52"/>
      <c r="N124" s="52"/>
      <c r="O124" s="52"/>
      <c r="P124" s="52"/>
    </row>
    <row r="125" spans="2:16" ht="15.75" customHeight="1" x14ac:dyDescent="0.25">
      <c r="H125" s="52"/>
      <c r="I125" s="52"/>
      <c r="J125" s="52"/>
      <c r="K125" s="52"/>
      <c r="L125" s="52"/>
      <c r="M125" s="52"/>
      <c r="N125" s="52"/>
      <c r="O125" s="52"/>
      <c r="P125" s="52"/>
    </row>
    <row r="126" spans="2:16" x14ac:dyDescent="0.25">
      <c r="H126" s="52"/>
      <c r="I126" s="52"/>
      <c r="J126" s="52"/>
      <c r="K126" s="52"/>
      <c r="L126" s="52"/>
      <c r="M126" s="52"/>
      <c r="N126" s="52"/>
      <c r="O126" s="52"/>
      <c r="P126" s="52"/>
    </row>
    <row r="127" spans="2:16" ht="15" customHeight="1" x14ac:dyDescent="0.25">
      <c r="H127" s="52"/>
      <c r="I127" s="52"/>
      <c r="J127" s="52"/>
      <c r="K127" s="52"/>
      <c r="L127" s="52"/>
      <c r="M127" s="52"/>
      <c r="N127" s="52"/>
      <c r="O127" s="52"/>
      <c r="P127" s="52"/>
    </row>
    <row r="128" spans="2:16" ht="15.75" customHeight="1" x14ac:dyDescent="0.25">
      <c r="H128" s="52"/>
      <c r="I128" s="52"/>
      <c r="J128" s="52"/>
      <c r="K128" s="52"/>
      <c r="L128" s="52"/>
      <c r="M128" s="52"/>
      <c r="N128" s="52"/>
      <c r="O128" s="52"/>
      <c r="P128" s="52"/>
    </row>
    <row r="129" spans="8:16" ht="32.25" customHeight="1" x14ac:dyDescent="0.25">
      <c r="H129" s="52"/>
      <c r="I129" s="52"/>
      <c r="J129" s="52"/>
      <c r="K129" s="52"/>
      <c r="L129" s="52"/>
      <c r="M129" s="52"/>
      <c r="N129" s="52"/>
      <c r="O129" s="52"/>
      <c r="P129" s="52"/>
    </row>
    <row r="130" spans="8:16" x14ac:dyDescent="0.25">
      <c r="H130" s="52"/>
      <c r="I130" s="52"/>
      <c r="J130" s="52"/>
      <c r="K130" s="52"/>
      <c r="L130" s="52"/>
      <c r="M130" s="52"/>
      <c r="N130" s="52"/>
      <c r="O130" s="52"/>
      <c r="P130" s="52"/>
    </row>
    <row r="131" spans="8:16" ht="18"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ht="15" customHeight="1" x14ac:dyDescent="0.25">
      <c r="H138" s="52"/>
      <c r="I138" s="52"/>
      <c r="J138" s="52"/>
      <c r="K138" s="52"/>
      <c r="L138" s="52"/>
      <c r="M138" s="52"/>
      <c r="N138" s="52"/>
      <c r="O138" s="52"/>
      <c r="P138" s="52"/>
    </row>
    <row r="139" spans="8:16"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15.75" customHeight="1" x14ac:dyDescent="0.25">
      <c r="H141" s="52"/>
      <c r="I141" s="52"/>
      <c r="J141" s="52"/>
      <c r="K141" s="52"/>
      <c r="L141" s="52"/>
      <c r="M141" s="52"/>
      <c r="N141" s="52"/>
      <c r="O141" s="52"/>
      <c r="P141" s="52"/>
    </row>
    <row r="142" spans="8:16" ht="41.2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15.75" customHeight="1" x14ac:dyDescent="0.25">
      <c r="H144" s="52"/>
      <c r="I144" s="52"/>
      <c r="J144" s="52"/>
      <c r="K144" s="52"/>
      <c r="L144" s="52"/>
      <c r="M144" s="52"/>
      <c r="N144" s="52"/>
      <c r="O144" s="52"/>
      <c r="P144" s="52"/>
    </row>
    <row r="145" spans="8:16" ht="47.25" customHeight="1" x14ac:dyDescent="0.25">
      <c r="H145" s="52"/>
      <c r="I145" s="52"/>
      <c r="J145" s="52"/>
      <c r="K145" s="52"/>
      <c r="L145" s="52"/>
      <c r="M145" s="52"/>
      <c r="N145" s="52"/>
      <c r="O145" s="52"/>
      <c r="P145" s="52"/>
    </row>
    <row r="146" spans="8:16"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15.75" customHeight="1" x14ac:dyDescent="0.25">
      <c r="H149" s="52"/>
      <c r="I149" s="52"/>
      <c r="J149" s="52"/>
      <c r="K149" s="52"/>
      <c r="L149" s="52"/>
      <c r="M149" s="52"/>
      <c r="N149" s="52"/>
      <c r="O149" s="52"/>
      <c r="P149" s="52"/>
    </row>
    <row r="150" spans="8:16" ht="31.5" customHeight="1" x14ac:dyDescent="0.25">
      <c r="H150" s="52"/>
      <c r="I150" s="52"/>
      <c r="J150" s="52"/>
      <c r="K150" s="52"/>
      <c r="L150" s="52"/>
      <c r="M150" s="52"/>
      <c r="N150" s="52"/>
      <c r="O150" s="52"/>
      <c r="P150" s="52"/>
    </row>
    <row r="151" spans="8:16" ht="15.7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 customHeight="1" x14ac:dyDescent="0.25">
      <c r="H154" s="52"/>
      <c r="I154" s="52"/>
      <c r="J154" s="52"/>
      <c r="K154" s="52"/>
      <c r="L154" s="52"/>
      <c r="M154" s="52"/>
      <c r="N154" s="52"/>
      <c r="O154" s="52"/>
      <c r="P154" s="52"/>
    </row>
    <row r="155" spans="8:16" ht="15.75" customHeight="1" x14ac:dyDescent="0.25">
      <c r="H155" s="52"/>
      <c r="I155" s="52"/>
      <c r="J155" s="52"/>
      <c r="K155" s="52"/>
      <c r="L155" s="52"/>
      <c r="M155" s="52"/>
      <c r="N155" s="52"/>
      <c r="O155" s="52"/>
      <c r="P155" s="52"/>
    </row>
    <row r="156" spans="8:16" x14ac:dyDescent="0.25">
      <c r="H156" s="52"/>
      <c r="I156" s="52"/>
      <c r="J156" s="52"/>
      <c r="K156" s="52"/>
      <c r="L156" s="52"/>
      <c r="M156" s="52"/>
      <c r="N156" s="52"/>
      <c r="O156" s="52"/>
      <c r="P156" s="52"/>
    </row>
    <row r="157" spans="8:16" ht="15.75" customHeight="1"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ht="15.75" customHeight="1" x14ac:dyDescent="0.25">
      <c r="H163" s="52"/>
      <c r="I163" s="52"/>
      <c r="J163" s="52"/>
      <c r="K163" s="52"/>
      <c r="L163" s="52"/>
      <c r="M163" s="52"/>
      <c r="N163" s="52"/>
      <c r="O163" s="52"/>
      <c r="P163" s="52"/>
    </row>
    <row r="164" spans="8:16" x14ac:dyDescent="0.25">
      <c r="H164" s="52"/>
      <c r="I164" s="52"/>
      <c r="J164" s="52"/>
      <c r="K164" s="52"/>
      <c r="L164" s="52"/>
      <c r="M164" s="52"/>
      <c r="N164" s="52"/>
      <c r="O164" s="52"/>
      <c r="P164" s="52"/>
    </row>
    <row r="165" spans="8:16" ht="15.75" customHeight="1"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x14ac:dyDescent="0.25">
      <c r="H168" s="52"/>
      <c r="I168" s="52"/>
      <c r="J168" s="52"/>
      <c r="K168" s="52"/>
      <c r="L168" s="52"/>
      <c r="M168" s="52"/>
      <c r="N168" s="52"/>
      <c r="O168" s="52"/>
      <c r="P168" s="52"/>
    </row>
    <row r="169" spans="8:16" ht="15.75" customHeight="1" x14ac:dyDescent="0.25">
      <c r="H169" s="52"/>
      <c r="I169" s="52"/>
      <c r="J169" s="52"/>
      <c r="K169" s="52"/>
      <c r="L169" s="52"/>
      <c r="M169" s="52"/>
      <c r="N169" s="52"/>
      <c r="O169" s="52"/>
      <c r="P169" s="52"/>
    </row>
    <row r="170" spans="8:16"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ht="15.75" customHeight="1"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ht="15.75" customHeight="1" x14ac:dyDescent="0.25">
      <c r="H176" s="52"/>
      <c r="I176" s="52"/>
      <c r="J176" s="52"/>
      <c r="K176" s="52"/>
      <c r="L176" s="52"/>
      <c r="M176" s="52"/>
      <c r="N176" s="52"/>
      <c r="O176" s="52"/>
      <c r="P176" s="52"/>
    </row>
    <row r="177" spans="8:16" x14ac:dyDescent="0.25">
      <c r="H177" s="52"/>
      <c r="I177" s="52"/>
      <c r="J177" s="52"/>
      <c r="K177" s="52"/>
      <c r="L177" s="52"/>
      <c r="M177" s="52"/>
      <c r="N177" s="52"/>
      <c r="O177" s="52"/>
      <c r="P177" s="52"/>
    </row>
    <row r="178" spans="8:16" ht="16.5" customHeight="1" x14ac:dyDescent="0.25">
      <c r="H178" s="52"/>
      <c r="I178" s="52"/>
      <c r="J178" s="52"/>
      <c r="K178" s="52"/>
      <c r="L178" s="52"/>
      <c r="M178" s="52"/>
      <c r="N178" s="52"/>
      <c r="O178" s="52"/>
      <c r="P178" s="52"/>
    </row>
    <row r="179" spans="8:16" x14ac:dyDescent="0.25">
      <c r="H179" s="52"/>
      <c r="I179" s="52"/>
      <c r="J179" s="52"/>
      <c r="K179" s="52"/>
      <c r="L179" s="52"/>
      <c r="M179" s="52"/>
      <c r="N179" s="52"/>
      <c r="O179" s="52"/>
      <c r="P179" s="52"/>
    </row>
    <row r="180" spans="8:16" ht="15.75" customHeight="1"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ht="15" customHeight="1"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190" spans="8:16" x14ac:dyDescent="0.25">
      <c r="H190" s="52"/>
      <c r="I190" s="52"/>
      <c r="J190" s="52"/>
      <c r="K190" s="52"/>
      <c r="L190" s="52"/>
      <c r="M190" s="52"/>
      <c r="N190" s="52"/>
      <c r="O190" s="52"/>
      <c r="P190" s="52"/>
    </row>
    <row r="191" spans="8:16" x14ac:dyDescent="0.25">
      <c r="H191" s="52"/>
      <c r="I191" s="52"/>
      <c r="J191" s="52"/>
      <c r="K191" s="52"/>
      <c r="L191" s="52"/>
      <c r="M191" s="52"/>
      <c r="N191" s="52"/>
      <c r="O191" s="52"/>
      <c r="P191" s="52"/>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183" priority="32" operator="containsText" text="n/a">
      <formula>NOT(ISERROR(SEARCH("n/a",A6)))</formula>
    </cfRule>
  </conditionalFormatting>
  <conditionalFormatting sqref="B58:B59">
    <cfRule type="containsText" dxfId="182" priority="8" operator="containsText" text="n/a">
      <formula>NOT(ISERROR(SEARCH("n/a",B58)))</formula>
    </cfRule>
  </conditionalFormatting>
  <conditionalFormatting sqref="B71">
    <cfRule type="containsText" dxfId="181" priority="17" operator="containsText" text="n/a">
      <formula>NOT(ISERROR(SEARCH("n/a",B71)))</formula>
    </cfRule>
  </conditionalFormatting>
  <conditionalFormatting sqref="B73">
    <cfRule type="containsText" dxfId="180" priority="4" operator="containsText" text="n/a">
      <formula>NOT(ISERROR(SEARCH("n/a",B73)))</formula>
    </cfRule>
  </conditionalFormatting>
  <conditionalFormatting sqref="B8:C8">
    <cfRule type="containsText" dxfId="179" priority="41" operator="containsText" text="n/a">
      <formula>NOT(ISERROR(SEARCH("n/a",B8)))</formula>
    </cfRule>
  </conditionalFormatting>
  <conditionalFormatting sqref="B51:C52">
    <cfRule type="containsText" dxfId="178" priority="6" operator="containsText" text="n/a">
      <formula>NOT(ISERROR(SEARCH("n/a",B51)))</formula>
    </cfRule>
  </conditionalFormatting>
  <conditionalFormatting sqref="B55:C55">
    <cfRule type="containsText" dxfId="177" priority="18" operator="containsText" text="n/a">
      <formula>NOT(ISERROR(SEARCH("n/a",B55)))</formula>
    </cfRule>
  </conditionalFormatting>
  <conditionalFormatting sqref="B10:D10">
    <cfRule type="containsText" dxfId="176" priority="40" operator="containsText" text="n/a">
      <formula>NOT(ISERROR(SEARCH("n/a",B10)))</formula>
    </cfRule>
  </conditionalFormatting>
  <conditionalFormatting sqref="C13:D50">
    <cfRule type="containsErrors" dxfId="175" priority="43">
      <formula>ISERROR(C13)</formula>
    </cfRule>
  </conditionalFormatting>
  <conditionalFormatting sqref="F9:F10">
    <cfRule type="containsText" dxfId="174" priority="34" operator="containsText" text="n/a">
      <formula>NOT(ISERROR(SEARCH("n/a",F9)))</formula>
    </cfRule>
  </conditionalFormatting>
  <conditionalFormatting sqref="F21:F22">
    <cfRule type="containsText" dxfId="173" priority="11" operator="containsText" text="n/a">
      <formula>NOT(ISERROR(SEARCH("n/a",F21)))</formula>
    </cfRule>
  </conditionalFormatting>
  <conditionalFormatting sqref="F25">
    <cfRule type="containsText" dxfId="172" priority="25" operator="containsText" text="n/a">
      <formula>NOT(ISERROR(SEARCH("n/a",F25)))</formula>
    </cfRule>
  </conditionalFormatting>
  <conditionalFormatting sqref="F31">
    <cfRule type="containsText" dxfId="171" priority="24" operator="containsText" text="n/a">
      <formula>NOT(ISERROR(SEARCH("n/a",F31)))</formula>
    </cfRule>
  </conditionalFormatting>
  <conditionalFormatting sqref="F37">
    <cfRule type="containsText" dxfId="170" priority="23" operator="containsText" text="n/a">
      <formula>NOT(ISERROR(SEARCH("n/a",F37)))</formula>
    </cfRule>
  </conditionalFormatting>
  <conditionalFormatting sqref="F48">
    <cfRule type="containsText" dxfId="169" priority="22" operator="containsText" text="n/a">
      <formula>NOT(ISERROR(SEARCH("n/a",F48)))</formula>
    </cfRule>
  </conditionalFormatting>
  <conditionalFormatting sqref="F54">
    <cfRule type="containsText" dxfId="168" priority="5" operator="containsText" text="n/a">
      <formula>NOT(ISERROR(SEARCH("n/a",F54)))</formula>
    </cfRule>
  </conditionalFormatting>
  <conditionalFormatting sqref="F67">
    <cfRule type="containsText" dxfId="167" priority="21" operator="containsText" text="n/a">
      <formula>NOT(ISERROR(SEARCH("n/a",F67)))</formula>
    </cfRule>
  </conditionalFormatting>
  <conditionalFormatting sqref="F75">
    <cfRule type="containsText" dxfId="166" priority="20" operator="containsText" text="n/a">
      <formula>NOT(ISERROR(SEARCH("n/a",F75)))</formula>
    </cfRule>
  </conditionalFormatting>
  <conditionalFormatting sqref="F81">
    <cfRule type="containsText" dxfId="165" priority="19" operator="containsText" text="n/a">
      <formula>NOT(ISERROR(SEARCH("n/a",F81)))</formula>
    </cfRule>
  </conditionalFormatting>
  <conditionalFormatting sqref="F8:P8">
    <cfRule type="containsText" dxfId="164" priority="35" operator="containsText" text="n/a">
      <formula>NOT(ISERROR(SEARCH("n/a",F8)))</formula>
    </cfRule>
  </conditionalFormatting>
  <conditionalFormatting sqref="H10:P10">
    <cfRule type="containsText" dxfId="163" priority="33" operator="containsText" text="n/a">
      <formula>NOT(ISERROR(SEARCH("n/a",H10)))</formula>
    </cfRule>
  </conditionalFormatting>
  <conditionalFormatting sqref="K11:Q15 H11:J20 K16:O16 Q16:Q21 K17:N20">
    <cfRule type="containsErrors" dxfId="162" priority="44">
      <formula>ISERROR(H11)</formula>
    </cfRule>
  </conditionalFormatting>
  <conditionalFormatting sqref="Q9:Q10 K11:Q15 H11:J20 K16:O16 Q16:Q21 K17:N20">
    <cfRule type="containsText" dxfId="161" priority="42" operator="containsText" text="n/a">
      <formula>NOT(ISERROR(SEARCH("n/a",H9)))</formula>
    </cfRule>
  </conditionalFormatting>
  <conditionalFormatting sqref="S36:S39">
    <cfRule type="containsText" dxfId="160" priority="26" operator="containsText" text="Rate">
      <formula>NOT(ISERROR(SEARCH("Rate",S36)))</formula>
    </cfRule>
    <cfRule type="expression" dxfId="159" priority="27">
      <formula>Output_NetPrice_JM &lt; 99</formula>
    </cfRule>
    <cfRule type="expression" dxfId="158" priority="28">
      <formula>Output_NetPrice_ExpNR &lt; 99</formula>
    </cfRule>
  </conditionalFormatting>
  <conditionalFormatting sqref="S51:S52">
    <cfRule type="containsText" dxfId="157" priority="7" operator="containsText" text="n/a">
      <formula>NOT(ISERROR(SEARCH("n/a",S51)))</formula>
    </cfRule>
  </conditionalFormatting>
  <conditionalFormatting sqref="S55">
    <cfRule type="containsText" dxfId="156" priority="16" operator="containsText" text="n/a">
      <formula>NOT(ISERROR(SEARCH("n/a",S55)))</formula>
    </cfRule>
  </conditionalFormatting>
  <conditionalFormatting sqref="S61">
    <cfRule type="containsText" dxfId="155" priority="15" operator="containsText" text="n/a">
      <formula>NOT(ISERROR(SEARCH("n/a",S61)))</formula>
    </cfRule>
  </conditionalFormatting>
  <conditionalFormatting sqref="S63">
    <cfRule type="containsText" dxfId="154" priority="14" operator="containsText" text="n/a">
      <formula>NOT(ISERROR(SEARCH("n/a",S63)))</formula>
    </cfRule>
  </conditionalFormatting>
  <conditionalFormatting sqref="S66">
    <cfRule type="containsText" dxfId="153" priority="13" operator="containsText" text="n/a">
      <formula>NOT(ISERROR(SEARCH("n/a",S66)))</formula>
    </cfRule>
  </conditionalFormatting>
  <conditionalFormatting sqref="S72">
    <cfRule type="containsText" dxfId="152" priority="12" operator="containsText" text="n/a">
      <formula>NOT(ISERROR(SEARCH("n/a",S72)))</formula>
    </cfRule>
  </conditionalFormatting>
  <conditionalFormatting sqref="S8:W8">
    <cfRule type="containsText" dxfId="151" priority="36" operator="containsText" text="n/a">
      <formula>NOT(ISERROR(SEARCH("n/a",S8)))</formula>
    </cfRule>
  </conditionalFormatting>
  <conditionalFormatting sqref="U55:V55">
    <cfRule type="containsText" dxfId="150" priority="10" operator="containsText" text="n/a">
      <formula>NOT(ISERROR(SEARCH("n/a",U55)))</formula>
    </cfRule>
  </conditionalFormatting>
  <conditionalFormatting sqref="U62:V62">
    <cfRule type="containsText" dxfId="149" priority="9" operator="containsText" text="n/a">
      <formula>NOT(ISERROR(SEARCH("n/a",U62)))</formula>
    </cfRule>
  </conditionalFormatting>
  <conditionalFormatting sqref="V36:V39">
    <cfRule type="containsText" dxfId="148" priority="29" operator="containsText" text="Rate">
      <formula>NOT(ISERROR(SEARCH("Rate",V36)))</formula>
    </cfRule>
    <cfRule type="expression" dxfId="147" priority="30">
      <formula>Output_NetPrice_JM &lt; 99</formula>
    </cfRule>
    <cfRule type="expression" dxfId="146" priority="31">
      <formula>Output_NetPrice_ExpNR &lt; 99</formula>
    </cfRule>
  </conditionalFormatting>
  <conditionalFormatting sqref="U10">
    <cfRule type="containsText" dxfId="145" priority="1" operator="containsText" text="Rate">
      <formula>NOT(ISERROR(SEARCH("Rate",U10)))</formula>
    </cfRule>
    <cfRule type="expression" dxfId="144" priority="2">
      <formula>Output_NetPrice_JM &lt; 99</formula>
    </cfRule>
    <cfRule type="expression" dxfId="143"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7" t="s">
        <v>0</v>
      </c>
      <c r="M1" s="667"/>
      <c r="N1" s="667"/>
      <c r="O1" s="667"/>
      <c r="P1" s="61"/>
      <c r="Q1" s="61"/>
      <c r="R1" s="61"/>
      <c r="S1" s="3"/>
      <c r="T1" s="3"/>
      <c r="U1" s="3"/>
    </row>
    <row r="2" spans="1:22" ht="17.45" customHeight="1" x14ac:dyDescent="0.25">
      <c r="I2" s="62"/>
      <c r="J2" s="62"/>
      <c r="K2" s="62"/>
      <c r="L2" s="668" t="s">
        <v>1</v>
      </c>
      <c r="M2" s="668"/>
      <c r="N2" s="668"/>
      <c r="O2" s="668"/>
      <c r="P2" s="62"/>
      <c r="Q2" s="61"/>
      <c r="R2" s="61"/>
      <c r="S2" s="3"/>
      <c r="T2" s="3"/>
      <c r="U2" s="3"/>
      <c r="V2" s="63"/>
    </row>
    <row r="3" spans="1:22" ht="17.45" customHeight="1" x14ac:dyDescent="0.25">
      <c r="I3" s="62"/>
      <c r="J3" s="62"/>
      <c r="K3" s="62"/>
      <c r="L3" s="668" t="s">
        <v>2</v>
      </c>
      <c r="M3" s="668"/>
      <c r="N3" s="668"/>
      <c r="O3" s="668"/>
      <c r="P3" s="62"/>
      <c r="Q3" s="62"/>
      <c r="R3" s="62"/>
      <c r="V3" s="64"/>
    </row>
    <row r="4" spans="1:22" ht="17.45" customHeight="1" x14ac:dyDescent="0.25">
      <c r="H4" s="9"/>
      <c r="I4" s="9"/>
      <c r="J4" s="9"/>
      <c r="K4" s="65"/>
      <c r="L4" s="66"/>
      <c r="M4" s="66"/>
      <c r="N4" s="662"/>
      <c r="O4" s="662"/>
      <c r="R4" s="3"/>
      <c r="S4" s="3"/>
    </row>
    <row r="5" spans="1:22" ht="17.45" customHeight="1" thickBot="1" x14ac:dyDescent="0.3">
      <c r="H5" s="9"/>
      <c r="I5" s="9"/>
      <c r="J5" s="9"/>
      <c r="K5" s="10"/>
      <c r="L5" s="662" t="s">
        <v>3</v>
      </c>
      <c r="M5" s="662"/>
      <c r="N5" s="662">
        <v>45869</v>
      </c>
      <c r="O5" s="662"/>
      <c r="R5" s="3"/>
      <c r="S5" s="3"/>
    </row>
    <row r="6" spans="1:22" ht="17.45" customHeight="1" x14ac:dyDescent="0.25">
      <c r="A6" s="205"/>
      <c r="B6" s="896" t="s">
        <v>4</v>
      </c>
      <c r="C6" s="957"/>
      <c r="D6" s="897"/>
      <c r="E6" s="339"/>
      <c r="F6" s="896" t="s">
        <v>175</v>
      </c>
      <c r="G6" s="957"/>
      <c r="H6" s="957"/>
      <c r="I6" s="957"/>
      <c r="J6" s="957"/>
      <c r="K6" s="957"/>
      <c r="L6" s="957"/>
      <c r="M6" s="957"/>
      <c r="N6" s="957"/>
      <c r="O6" s="897"/>
      <c r="P6" s="205"/>
      <c r="Q6" s="900" t="s">
        <v>5</v>
      </c>
      <c r="R6" s="901"/>
      <c r="S6" s="901"/>
      <c r="T6" s="902"/>
      <c r="U6" s="205"/>
    </row>
    <row r="7" spans="1:22" ht="17.45" customHeight="1" thickBot="1" x14ac:dyDescent="0.3">
      <c r="A7" s="205"/>
      <c r="B7" s="898"/>
      <c r="C7" s="958"/>
      <c r="D7" s="899"/>
      <c r="E7" s="340"/>
      <c r="F7" s="898"/>
      <c r="G7" s="958"/>
      <c r="H7" s="958"/>
      <c r="I7" s="958"/>
      <c r="J7" s="958"/>
      <c r="K7" s="958"/>
      <c r="L7" s="958"/>
      <c r="M7" s="958"/>
      <c r="N7" s="958"/>
      <c r="O7" s="899"/>
      <c r="P7" s="205"/>
      <c r="Q7" s="906"/>
      <c r="R7" s="907"/>
      <c r="S7" s="907"/>
      <c r="T7" s="908"/>
      <c r="U7" s="205"/>
    </row>
    <row r="8" spans="1:22" ht="15.75" customHeight="1" x14ac:dyDescent="0.25">
      <c r="A8" s="205"/>
      <c r="B8" s="324"/>
      <c r="C8" s="325"/>
      <c r="D8" s="326"/>
      <c r="E8" s="204"/>
      <c r="F8" s="324"/>
      <c r="G8" s="325"/>
      <c r="H8" s="325"/>
      <c r="I8" s="325"/>
      <c r="J8" s="325"/>
      <c r="K8" s="325"/>
      <c r="L8" s="325"/>
      <c r="M8" s="325"/>
      <c r="N8" s="325"/>
      <c r="O8" s="326"/>
      <c r="P8" s="205"/>
      <c r="Q8" s="261"/>
      <c r="R8" s="263"/>
      <c r="S8" s="263"/>
      <c r="T8" s="262"/>
      <c r="U8" s="205"/>
      <c r="V8" s="24"/>
    </row>
    <row r="9" spans="1:22" ht="15.75" customHeight="1" thickBot="1" x14ac:dyDescent="0.3">
      <c r="A9" s="205"/>
      <c r="B9" s="909" t="s">
        <v>6</v>
      </c>
      <c r="C9" s="959"/>
      <c r="D9" s="910"/>
      <c r="E9" s="230"/>
      <c r="F9" s="911" t="s">
        <v>7</v>
      </c>
      <c r="G9" s="912"/>
      <c r="H9" s="912"/>
      <c r="I9" s="912"/>
      <c r="J9" s="912"/>
      <c r="K9" s="912"/>
      <c r="L9" s="912"/>
      <c r="M9" s="912"/>
      <c r="N9" s="912"/>
      <c r="O9" s="913"/>
      <c r="P9" s="205"/>
      <c r="Q9" s="264"/>
      <c r="R9" s="265"/>
      <c r="S9" s="266" t="s">
        <v>8</v>
      </c>
      <c r="T9" s="267"/>
      <c r="U9" s="205"/>
    </row>
    <row r="10" spans="1:22" ht="15" customHeight="1" x14ac:dyDescent="0.25">
      <c r="A10" s="205"/>
      <c r="B10" s="285" t="s">
        <v>9</v>
      </c>
      <c r="C10" s="286" t="s">
        <v>176</v>
      </c>
      <c r="D10" s="287" t="s">
        <v>177</v>
      </c>
      <c r="E10" s="226"/>
      <c r="F10" s="792" t="s">
        <v>11</v>
      </c>
      <c r="G10" s="793"/>
      <c r="H10" s="286" t="s">
        <v>12</v>
      </c>
      <c r="I10" s="286" t="s">
        <v>13</v>
      </c>
      <c r="J10" s="286" t="s">
        <v>14</v>
      </c>
      <c r="K10" s="286" t="s">
        <v>15</v>
      </c>
      <c r="L10" s="286" t="s">
        <v>16</v>
      </c>
      <c r="M10" s="286" t="s">
        <v>17</v>
      </c>
      <c r="N10" s="286" t="s">
        <v>18</v>
      </c>
      <c r="O10" s="287" t="s">
        <v>19</v>
      </c>
      <c r="P10" s="205"/>
      <c r="Q10" s="794" t="s">
        <v>21</v>
      </c>
      <c r="R10" s="795"/>
      <c r="S10" s="67">
        <v>6.25</v>
      </c>
      <c r="T10" s="314"/>
      <c r="U10" s="205"/>
    </row>
    <row r="11" spans="1:22" ht="14.25" customHeight="1" x14ac:dyDescent="0.25">
      <c r="A11" s="205"/>
      <c r="B11" s="196">
        <v>6.25</v>
      </c>
      <c r="C11" s="313"/>
      <c r="D11" s="197"/>
      <c r="E11" s="210"/>
      <c r="F11" s="767" t="s">
        <v>22</v>
      </c>
      <c r="G11" s="768">
        <v>0</v>
      </c>
      <c r="H11" s="15">
        <v>0.625</v>
      </c>
      <c r="I11" s="15">
        <v>0.5</v>
      </c>
      <c r="J11" s="15">
        <v>0.5</v>
      </c>
      <c r="K11" s="15">
        <v>0.5</v>
      </c>
      <c r="L11" s="15">
        <v>0.375</v>
      </c>
      <c r="M11" s="15">
        <v>0.125</v>
      </c>
      <c r="N11" s="15">
        <v>-0.125</v>
      </c>
      <c r="O11" s="16">
        <v>-1.75</v>
      </c>
      <c r="P11" s="205"/>
      <c r="Q11" s="769" t="s">
        <v>23</v>
      </c>
      <c r="R11" s="770"/>
      <c r="S11" s="17" t="s">
        <v>31</v>
      </c>
      <c r="T11" s="315"/>
      <c r="U11" s="205"/>
    </row>
    <row r="12" spans="1:22" ht="15" customHeight="1" x14ac:dyDescent="0.25">
      <c r="A12" s="205"/>
      <c r="B12" s="196">
        <v>6.375</v>
      </c>
      <c r="C12" s="198"/>
      <c r="D12" s="197"/>
      <c r="E12" s="210"/>
      <c r="F12" s="767" t="s">
        <v>24</v>
      </c>
      <c r="G12" s="768">
        <v>0</v>
      </c>
      <c r="H12" s="19">
        <v>0.5</v>
      </c>
      <c r="I12" s="19">
        <v>0.5</v>
      </c>
      <c r="J12" s="15">
        <v>0.5</v>
      </c>
      <c r="K12" s="19">
        <v>0.375</v>
      </c>
      <c r="L12" s="19">
        <v>0.25</v>
      </c>
      <c r="M12" s="15">
        <v>0</v>
      </c>
      <c r="N12" s="15">
        <v>-0.375</v>
      </c>
      <c r="O12" s="16">
        <v>-2</v>
      </c>
      <c r="P12" s="205"/>
      <c r="Q12" s="769" t="s">
        <v>25</v>
      </c>
      <c r="R12" s="770"/>
      <c r="S12" s="17" t="s">
        <v>35</v>
      </c>
      <c r="T12" s="315" t="b">
        <f>IF(ISNUMBER(MATCH($S$11,'Feed(WS)'!$B$3:$B$11,0)),
   INDEX($H$11:$O$19,MATCH($S$12,$F$11:$F$19,0),MATCH($S$11,$H$10:$O$10,0)))</f>
        <v>0</v>
      </c>
      <c r="U12" s="205"/>
    </row>
    <row r="13" spans="1:22" ht="15.75" customHeight="1" x14ac:dyDescent="0.25">
      <c r="A13" s="205"/>
      <c r="B13" s="196">
        <v>6.4989999999999997</v>
      </c>
      <c r="C13" s="435">
        <v>99.0625</v>
      </c>
      <c r="D13" s="197"/>
      <c r="E13" s="210"/>
      <c r="F13" s="767" t="s">
        <v>26</v>
      </c>
      <c r="G13" s="768">
        <v>0</v>
      </c>
      <c r="H13" s="19">
        <v>0.5</v>
      </c>
      <c r="I13" s="19">
        <v>0.375</v>
      </c>
      <c r="J13" s="15">
        <v>0.375</v>
      </c>
      <c r="K13" s="19">
        <v>0.25</v>
      </c>
      <c r="L13" s="19">
        <v>0</v>
      </c>
      <c r="M13" s="15">
        <v>-0.375</v>
      </c>
      <c r="N13" s="15">
        <v>-0.5</v>
      </c>
      <c r="O13" s="16">
        <v>-2.25</v>
      </c>
      <c r="P13" s="205"/>
      <c r="Q13" s="769" t="s">
        <v>27</v>
      </c>
      <c r="R13" s="770"/>
      <c r="S13" s="17" t="s">
        <v>181</v>
      </c>
      <c r="T13" s="315" t="e">
        <f>IF(OR($S$11="", $S$13=""), "",
   INDEX($H$23:$O$28,
         MATCH($S$13,$F$23:$F$28,0),
         MATCH($S$11,$H$10:$O$10,0)))</f>
        <v>#N/A</v>
      </c>
      <c r="U13" s="205"/>
    </row>
    <row r="14" spans="1:22" ht="15.75" customHeight="1" x14ac:dyDescent="0.25">
      <c r="A14" s="205"/>
      <c r="B14" s="196">
        <v>6.625</v>
      </c>
      <c r="C14" s="15">
        <v>99.53125</v>
      </c>
      <c r="D14" s="197"/>
      <c r="E14" s="210"/>
      <c r="F14" s="767" t="s">
        <v>29</v>
      </c>
      <c r="G14" s="768">
        <v>0</v>
      </c>
      <c r="H14" s="19">
        <v>0.375</v>
      </c>
      <c r="I14" s="19">
        <v>0.25</v>
      </c>
      <c r="J14" s="15">
        <v>0.25</v>
      </c>
      <c r="K14" s="19">
        <v>0</v>
      </c>
      <c r="L14" s="19">
        <v>-0.375</v>
      </c>
      <c r="M14" s="15">
        <v>-0.5</v>
      </c>
      <c r="N14" s="15">
        <v>-1</v>
      </c>
      <c r="O14" s="16">
        <v>-2.75</v>
      </c>
      <c r="P14" s="205"/>
      <c r="Q14" s="769" t="s">
        <v>30</v>
      </c>
      <c r="R14" s="770"/>
      <c r="S14" s="17" t="s">
        <v>31</v>
      </c>
      <c r="T14" s="315" t="e">
        <f>'Feed(WS)'!$O$180</f>
        <v>#REF!</v>
      </c>
      <c r="U14" s="205"/>
      <c r="V14" s="18"/>
    </row>
    <row r="15" spans="1:22" ht="15" customHeight="1" x14ac:dyDescent="0.25">
      <c r="A15" s="205"/>
      <c r="B15" s="196">
        <v>6.75</v>
      </c>
      <c r="C15" s="15">
        <v>99.96875</v>
      </c>
      <c r="D15" s="197"/>
      <c r="E15" s="210"/>
      <c r="F15" s="767" t="s">
        <v>32</v>
      </c>
      <c r="G15" s="768">
        <v>0</v>
      </c>
      <c r="H15" s="19">
        <v>0.25</v>
      </c>
      <c r="I15" s="19">
        <v>0</v>
      </c>
      <c r="J15" s="15">
        <v>0</v>
      </c>
      <c r="K15" s="19">
        <v>-0.375</v>
      </c>
      <c r="L15" s="19">
        <v>-0.5</v>
      </c>
      <c r="M15" s="15">
        <v>-1</v>
      </c>
      <c r="N15" s="15">
        <v>-1.5</v>
      </c>
      <c r="O15" s="197" t="s">
        <v>642</v>
      </c>
      <c r="P15" s="205"/>
      <c r="Q15" s="769" t="s">
        <v>33</v>
      </c>
      <c r="R15" s="770"/>
      <c r="S15" s="17" t="s">
        <v>34</v>
      </c>
      <c r="T15" s="315" t="e">
        <f>IF(OR($S$11="", $S$15=""), "",
   INDEX($H$71:$O$75,
         MATCH($S$15,$F$71:$F$75,0),
         MATCH($S$11,$H$10:$O$10,0)))</f>
        <v>#N/A</v>
      </c>
      <c r="U15" s="205"/>
      <c r="V15" s="18"/>
    </row>
    <row r="16" spans="1:22" ht="14.25" customHeight="1" x14ac:dyDescent="0.25">
      <c r="A16" s="205"/>
      <c r="B16" s="196">
        <v>6.875</v>
      </c>
      <c r="C16" s="15">
        <v>100.390625</v>
      </c>
      <c r="D16" s="197"/>
      <c r="E16" s="210"/>
      <c r="F16" s="767" t="s">
        <v>35</v>
      </c>
      <c r="G16" s="768">
        <v>0</v>
      </c>
      <c r="H16" s="19">
        <v>0</v>
      </c>
      <c r="I16" s="19">
        <v>-0.375</v>
      </c>
      <c r="J16" s="15">
        <v>-0.375</v>
      </c>
      <c r="K16" s="19">
        <v>-0.5</v>
      </c>
      <c r="L16" s="19">
        <v>-1</v>
      </c>
      <c r="M16" s="15">
        <v>-1.5</v>
      </c>
      <c r="N16" s="15">
        <v>-2.5</v>
      </c>
      <c r="O16" s="197" t="s">
        <v>642</v>
      </c>
      <c r="P16" s="205"/>
      <c r="Q16" s="769" t="s">
        <v>36</v>
      </c>
      <c r="R16" s="770"/>
      <c r="S16" s="17" t="s">
        <v>37</v>
      </c>
      <c r="T16" s="315">
        <f>IF(OR($S$11="", $S$16="", $S$16="NONE"),0,
   INDEX($H$77:$O$80,
         MATCH($S$16,$F$77:$F$80,0),
         MATCH($S$11,$H$10:$O$10,0)))</f>
        <v>0</v>
      </c>
      <c r="U16" s="205"/>
      <c r="V16" s="18"/>
    </row>
    <row r="17" spans="1:26" ht="15" customHeight="1" x14ac:dyDescent="0.25">
      <c r="A17" s="205"/>
      <c r="B17" s="196">
        <v>6.9989999999999997</v>
      </c>
      <c r="C17" s="15">
        <v>100.796875</v>
      </c>
      <c r="D17" s="197"/>
      <c r="E17" s="210"/>
      <c r="F17" s="767" t="s">
        <v>38</v>
      </c>
      <c r="G17" s="768">
        <v>0</v>
      </c>
      <c r="H17" s="19">
        <v>-0.5</v>
      </c>
      <c r="I17" s="19">
        <v>-0.5</v>
      </c>
      <c r="J17" s="15">
        <v>-0.5</v>
      </c>
      <c r="K17" s="19">
        <v>-1</v>
      </c>
      <c r="L17" s="19">
        <v>-1.5</v>
      </c>
      <c r="M17" s="15">
        <v>-2.25</v>
      </c>
      <c r="N17" s="198" t="s">
        <v>642</v>
      </c>
      <c r="O17" s="197" t="s">
        <v>642</v>
      </c>
      <c r="P17" s="205"/>
      <c r="Q17" s="769" t="s">
        <v>39</v>
      </c>
      <c r="R17" s="770"/>
      <c r="S17" s="17" t="s">
        <v>176</v>
      </c>
      <c r="T17" s="315">
        <v>0</v>
      </c>
      <c r="U17" s="205"/>
      <c r="V17" s="18"/>
    </row>
    <row r="18" spans="1:26" ht="15" customHeight="1" x14ac:dyDescent="0.25">
      <c r="A18" s="205"/>
      <c r="B18" s="196">
        <v>7.125</v>
      </c>
      <c r="C18" s="15">
        <v>101.171875</v>
      </c>
      <c r="D18" s="197"/>
      <c r="E18" s="210"/>
      <c r="F18" s="767" t="s">
        <v>40</v>
      </c>
      <c r="G18" s="768">
        <v>0</v>
      </c>
      <c r="H18" s="19">
        <v>-1</v>
      </c>
      <c r="I18" s="19">
        <v>-1.25</v>
      </c>
      <c r="J18" s="15">
        <v>-1.25</v>
      </c>
      <c r="K18" s="19">
        <v>-1.75</v>
      </c>
      <c r="L18" s="19">
        <v>-2.25</v>
      </c>
      <c r="M18" s="15">
        <v>-3.25</v>
      </c>
      <c r="N18" s="198" t="s">
        <v>642</v>
      </c>
      <c r="O18" s="197" t="s">
        <v>642</v>
      </c>
      <c r="P18" s="205"/>
      <c r="Q18" s="769" t="s">
        <v>41</v>
      </c>
      <c r="R18" s="770"/>
      <c r="S18" s="17" t="s">
        <v>210</v>
      </c>
      <c r="T18" s="315">
        <f>IF(OR($S$11="", $S$18="", $S$18="None in this Dropdown"),0,
   INDEX($H$46:$O$49,
         MATCH($S$18,$F$46:$F$49,0),
         MATCH($S$11,$H$10:$O$10,0)))</f>
        <v>0</v>
      </c>
      <c r="U18" s="205"/>
      <c r="V18" s="18"/>
    </row>
    <row r="19" spans="1:26" ht="15.75" customHeight="1" x14ac:dyDescent="0.25">
      <c r="A19" s="205"/>
      <c r="B19" s="196">
        <v>7.25</v>
      </c>
      <c r="C19" s="15">
        <v>101.546875</v>
      </c>
      <c r="D19" s="197"/>
      <c r="E19" s="210"/>
      <c r="F19" s="767" t="s">
        <v>42</v>
      </c>
      <c r="G19" s="768">
        <v>0</v>
      </c>
      <c r="H19" s="19">
        <v>-1.75</v>
      </c>
      <c r="I19" s="19">
        <v>-2</v>
      </c>
      <c r="J19" s="15">
        <v>-2</v>
      </c>
      <c r="K19" s="19">
        <v>-2.5</v>
      </c>
      <c r="L19" s="19">
        <v>-3</v>
      </c>
      <c r="M19" s="198" t="s">
        <v>642</v>
      </c>
      <c r="N19" s="198" t="s">
        <v>642</v>
      </c>
      <c r="O19" s="197" t="s">
        <v>642</v>
      </c>
      <c r="P19" s="205"/>
      <c r="Q19" s="769" t="s">
        <v>43</v>
      </c>
      <c r="R19" s="770"/>
      <c r="S19" s="17" t="s">
        <v>216</v>
      </c>
      <c r="T19" s="315" t="e">
        <f>'Feed(WS)'!$R$175</f>
        <v>#REF!</v>
      </c>
      <c r="U19" s="205"/>
      <c r="V19" s="18"/>
    </row>
    <row r="20" spans="1:26" ht="15.75" customHeight="1" x14ac:dyDescent="0.25">
      <c r="A20" s="205"/>
      <c r="B20" s="196">
        <v>7.375</v>
      </c>
      <c r="C20" s="15">
        <v>101.921875</v>
      </c>
      <c r="D20" s="197"/>
      <c r="E20" s="210"/>
      <c r="F20" s="792"/>
      <c r="G20" s="793"/>
      <c r="H20" s="286"/>
      <c r="I20" s="286"/>
      <c r="J20" s="286"/>
      <c r="K20" s="286"/>
      <c r="L20" s="286"/>
      <c r="M20" s="286"/>
      <c r="N20" s="286"/>
      <c r="O20" s="287"/>
      <c r="P20" s="205"/>
      <c r="Q20" s="769" t="s">
        <v>45</v>
      </c>
      <c r="R20" s="770"/>
      <c r="S20" s="17" t="s">
        <v>31</v>
      </c>
      <c r="T20" s="315" t="e">
        <f>IF(OR($S$11="", $S$20=""), "",
   INDEX($H$36:$O$44,
         MATCH($S$20,$F$36:$F$44,0),
         MATCH($S$11,$H$10:$O$10,0)))</f>
        <v>#N/A</v>
      </c>
      <c r="U20" s="205"/>
      <c r="V20" s="18"/>
      <c r="Z20" s="68"/>
    </row>
    <row r="21" spans="1:26" ht="15.75" customHeight="1" x14ac:dyDescent="0.25">
      <c r="A21" s="205"/>
      <c r="B21" s="196">
        <v>7.4989999999999997</v>
      </c>
      <c r="C21" s="15">
        <v>102.265625</v>
      </c>
      <c r="D21" s="16">
        <v>98.5</v>
      </c>
      <c r="E21" s="210"/>
      <c r="F21" s="930"/>
      <c r="G21" s="931"/>
      <c r="H21" s="931"/>
      <c r="I21" s="931"/>
      <c r="J21" s="931"/>
      <c r="K21" s="931"/>
      <c r="L21" s="931"/>
      <c r="M21" s="931"/>
      <c r="N21" s="931"/>
      <c r="O21" s="932"/>
      <c r="P21" s="205"/>
      <c r="Q21" s="769" t="s">
        <v>46</v>
      </c>
      <c r="R21" s="770"/>
      <c r="S21" s="17" t="s">
        <v>68</v>
      </c>
      <c r="T21" s="315" t="e">
        <f>IF(OR($S$11="", $S$21=""), "",
   INDEX($H$30:$O$34,
         MATCH($S$21,$F$30:$F$34,0),
         MATCH($S$11,$H$10:$O$10,0)))</f>
        <v>#N/A</v>
      </c>
      <c r="U21" s="205"/>
      <c r="V21" s="18"/>
    </row>
    <row r="22" spans="1:26" x14ac:dyDescent="0.25">
      <c r="A22" s="205"/>
      <c r="B22" s="196">
        <v>7.625</v>
      </c>
      <c r="C22" s="15">
        <v>102.578125</v>
      </c>
      <c r="D22" s="16">
        <v>99</v>
      </c>
      <c r="E22" s="210"/>
      <c r="F22" s="914" t="s">
        <v>27</v>
      </c>
      <c r="G22" s="915"/>
      <c r="H22" s="915"/>
      <c r="I22" s="915"/>
      <c r="J22" s="915"/>
      <c r="K22" s="915"/>
      <c r="L22" s="915"/>
      <c r="M22" s="915"/>
      <c r="N22" s="915"/>
      <c r="O22" s="916"/>
      <c r="P22" s="205"/>
      <c r="Q22" s="769" t="s">
        <v>47</v>
      </c>
      <c r="R22" s="770"/>
      <c r="S22" s="17" t="s">
        <v>67</v>
      </c>
      <c r="T22" s="315">
        <v>0</v>
      </c>
      <c r="U22" s="960"/>
      <c r="V22" s="18"/>
    </row>
    <row r="23" spans="1:26" x14ac:dyDescent="0.25">
      <c r="A23" s="205"/>
      <c r="B23" s="196">
        <v>7.75</v>
      </c>
      <c r="C23" s="15">
        <v>102.859375</v>
      </c>
      <c r="D23" s="16">
        <v>99.25</v>
      </c>
      <c r="E23" s="210"/>
      <c r="F23" s="629" t="s">
        <v>179</v>
      </c>
      <c r="G23" s="630"/>
      <c r="H23" s="19">
        <v>0.5</v>
      </c>
      <c r="I23" s="19">
        <v>0.5</v>
      </c>
      <c r="J23" s="19">
        <v>0.5</v>
      </c>
      <c r="K23" s="19">
        <v>0.5</v>
      </c>
      <c r="L23" s="19">
        <v>0.5</v>
      </c>
      <c r="M23" s="19">
        <v>0.5</v>
      </c>
      <c r="N23" s="19" t="s">
        <v>642</v>
      </c>
      <c r="O23" s="20" t="s">
        <v>642</v>
      </c>
      <c r="P23" s="205"/>
      <c r="Q23" s="769" t="s">
        <v>49</v>
      </c>
      <c r="R23" s="770"/>
      <c r="S23" s="17" t="s">
        <v>238</v>
      </c>
      <c r="T23" s="315">
        <v>0</v>
      </c>
      <c r="U23" s="960"/>
      <c r="V23" s="18"/>
      <c r="Z23" s="24"/>
    </row>
    <row r="24" spans="1:26" ht="15.75" customHeight="1" x14ac:dyDescent="0.25">
      <c r="A24" s="205"/>
      <c r="B24" s="196">
        <v>7.875</v>
      </c>
      <c r="C24" s="15">
        <v>103.140625</v>
      </c>
      <c r="D24" s="16">
        <v>99.5</v>
      </c>
      <c r="E24" s="210"/>
      <c r="F24" s="629" t="s">
        <v>180</v>
      </c>
      <c r="G24" s="630"/>
      <c r="H24" s="19">
        <v>0</v>
      </c>
      <c r="I24" s="19">
        <v>0</v>
      </c>
      <c r="J24" s="19">
        <v>0</v>
      </c>
      <c r="K24" s="19">
        <v>0</v>
      </c>
      <c r="L24" s="19">
        <v>0</v>
      </c>
      <c r="M24" s="19">
        <v>0</v>
      </c>
      <c r="N24" s="19">
        <v>0</v>
      </c>
      <c r="O24" s="20">
        <v>0</v>
      </c>
      <c r="P24" s="205"/>
      <c r="Q24" s="769" t="s">
        <v>50</v>
      </c>
      <c r="R24" s="770"/>
      <c r="S24" s="17" t="s">
        <v>31</v>
      </c>
      <c r="T24" s="315" t="e">
        <f>'Feed(WS)'!$P$175</f>
        <v>#REF!</v>
      </c>
      <c r="U24" s="960"/>
      <c r="V24" s="18"/>
      <c r="Z24" s="24"/>
    </row>
    <row r="25" spans="1:26" ht="15.75" customHeight="1" x14ac:dyDescent="0.25">
      <c r="A25" s="205"/>
      <c r="B25" s="196">
        <v>7.9989999999999997</v>
      </c>
      <c r="C25" s="15">
        <v>103.421875</v>
      </c>
      <c r="D25" s="16">
        <v>100</v>
      </c>
      <c r="E25" s="210"/>
      <c r="F25" s="629" t="s">
        <v>181</v>
      </c>
      <c r="G25" s="630"/>
      <c r="H25" s="19">
        <v>0</v>
      </c>
      <c r="I25" s="19">
        <v>0</v>
      </c>
      <c r="J25" s="19">
        <v>0</v>
      </c>
      <c r="K25" s="19">
        <v>0</v>
      </c>
      <c r="L25" s="19">
        <v>0</v>
      </c>
      <c r="M25" s="19">
        <v>0</v>
      </c>
      <c r="N25" s="19">
        <v>0</v>
      </c>
      <c r="O25" s="19">
        <v>0</v>
      </c>
      <c r="P25" s="205"/>
      <c r="Q25" s="769" t="s">
        <v>52</v>
      </c>
      <c r="R25" s="770"/>
      <c r="S25" s="17" t="s">
        <v>53</v>
      </c>
      <c r="T25" s="315" t="e">
        <f>'Feed(WS)'!$O$175</f>
        <v>#REF!</v>
      </c>
      <c r="U25" s="960"/>
      <c r="V25" s="18"/>
    </row>
    <row r="26" spans="1:26" x14ac:dyDescent="0.25">
      <c r="A26" s="205"/>
      <c r="B26" s="196">
        <v>8.125</v>
      </c>
      <c r="C26" s="15">
        <v>103.703125</v>
      </c>
      <c r="D26" s="16">
        <v>100.25</v>
      </c>
      <c r="E26" s="210"/>
      <c r="F26" s="629" t="s">
        <v>182</v>
      </c>
      <c r="G26" s="630"/>
      <c r="H26" s="19">
        <v>-2</v>
      </c>
      <c r="I26" s="19">
        <v>-2</v>
      </c>
      <c r="J26" s="19">
        <v>-2</v>
      </c>
      <c r="K26" s="19">
        <v>-2</v>
      </c>
      <c r="L26" s="19">
        <v>-2</v>
      </c>
      <c r="M26" s="19">
        <v>-2</v>
      </c>
      <c r="N26" s="19" t="s">
        <v>642</v>
      </c>
      <c r="O26" s="20" t="s">
        <v>642</v>
      </c>
      <c r="P26" s="205"/>
      <c r="Q26" s="769" t="s">
        <v>55</v>
      </c>
      <c r="R26" s="770"/>
      <c r="S26" s="17" t="s">
        <v>56</v>
      </c>
      <c r="T26" s="315" t="e">
        <f>'Feed(WS)'!$Q$180</f>
        <v>#REF!</v>
      </c>
      <c r="U26" s="960"/>
      <c r="V26" s="18"/>
    </row>
    <row r="27" spans="1:26" ht="15.75" customHeight="1" x14ac:dyDescent="0.25">
      <c r="A27" s="205"/>
      <c r="B27" s="196">
        <v>8.25</v>
      </c>
      <c r="C27" s="15">
        <v>103.984375</v>
      </c>
      <c r="D27" s="16">
        <v>100.5</v>
      </c>
      <c r="E27" s="210"/>
      <c r="F27" s="629" t="s">
        <v>183</v>
      </c>
      <c r="G27" s="630"/>
      <c r="H27" s="19">
        <v>-3</v>
      </c>
      <c r="I27" s="19">
        <v>-3</v>
      </c>
      <c r="J27" s="19">
        <v>-3</v>
      </c>
      <c r="K27" s="19">
        <v>-3</v>
      </c>
      <c r="L27" s="19">
        <v>-3</v>
      </c>
      <c r="M27" s="19" t="s">
        <v>642</v>
      </c>
      <c r="N27" s="19" t="s">
        <v>642</v>
      </c>
      <c r="O27" s="20" t="s">
        <v>642</v>
      </c>
      <c r="P27" s="205"/>
      <c r="Q27" s="769" t="s">
        <v>58</v>
      </c>
      <c r="R27" s="770"/>
      <c r="S27" s="17" t="s">
        <v>31</v>
      </c>
      <c r="T27" s="315">
        <f>IF($S$11="", "",
   IF($S$27="Choose a Selection",0,
      INDEX($H$51:$O$62,
           MATCH($S$27,$F$51:$F$62,0),
           MATCH($S$11,$H$10:$O$10,0))))</f>
        <v>0</v>
      </c>
      <c r="U27" s="960"/>
      <c r="V27" s="18"/>
      <c r="W27" s="3"/>
      <c r="X27" s="3"/>
      <c r="Y27" s="3"/>
    </row>
    <row r="28" spans="1:26" ht="15.75" customHeight="1" x14ac:dyDescent="0.25">
      <c r="A28" s="205"/>
      <c r="B28" s="196">
        <v>8.375</v>
      </c>
      <c r="C28" s="15">
        <v>104.265625</v>
      </c>
      <c r="D28" s="16">
        <v>100.75</v>
      </c>
      <c r="E28" s="210"/>
      <c r="F28" s="629" t="s">
        <v>184</v>
      </c>
      <c r="G28" s="630"/>
      <c r="H28" s="19">
        <v>-0.5</v>
      </c>
      <c r="I28" s="19">
        <v>-0.5</v>
      </c>
      <c r="J28" s="19">
        <v>-0.5</v>
      </c>
      <c r="K28" s="19">
        <v>-0.5</v>
      </c>
      <c r="L28" s="19">
        <v>-0.5</v>
      </c>
      <c r="M28" s="19">
        <v>-0.5</v>
      </c>
      <c r="N28" s="19">
        <v>-0.5</v>
      </c>
      <c r="O28" s="20" t="s">
        <v>642</v>
      </c>
      <c r="P28" s="205"/>
      <c r="Q28" s="769" t="s">
        <v>60</v>
      </c>
      <c r="R28" s="770"/>
      <c r="S28" s="17"/>
      <c r="T28" s="315">
        <v>0</v>
      </c>
      <c r="U28" s="960"/>
      <c r="V28" s="18"/>
      <c r="W28" s="3"/>
      <c r="X28" s="3"/>
      <c r="Y28" s="3"/>
    </row>
    <row r="29" spans="1:26" x14ac:dyDescent="0.25">
      <c r="A29" s="205"/>
      <c r="B29" s="196">
        <v>8.4990000000000006</v>
      </c>
      <c r="C29" s="15">
        <v>104.546875</v>
      </c>
      <c r="D29" s="16">
        <v>101</v>
      </c>
      <c r="E29" s="210"/>
      <c r="F29" s="914" t="s">
        <v>47</v>
      </c>
      <c r="G29" s="915"/>
      <c r="H29" s="915"/>
      <c r="I29" s="915"/>
      <c r="J29" s="915"/>
      <c r="K29" s="915"/>
      <c r="L29" s="915"/>
      <c r="M29" s="915"/>
      <c r="N29" s="915"/>
      <c r="O29" s="916"/>
      <c r="P29" s="205"/>
      <c r="Q29" s="769" t="s">
        <v>62</v>
      </c>
      <c r="R29" s="770"/>
      <c r="S29" s="17" t="s">
        <v>31</v>
      </c>
      <c r="T29" s="315" t="e">
        <f>'Feed(WS)'!$O$185</f>
        <v>#REF!</v>
      </c>
      <c r="U29" s="960"/>
      <c r="V29" s="18"/>
      <c r="W29" s="25"/>
      <c r="X29" s="25"/>
      <c r="Y29" s="25"/>
    </row>
    <row r="30" spans="1:26" x14ac:dyDescent="0.25">
      <c r="A30" s="205"/>
      <c r="B30" s="196">
        <v>8.625</v>
      </c>
      <c r="C30" s="15">
        <v>104.796875</v>
      </c>
      <c r="D30" s="16">
        <v>101.25</v>
      </c>
      <c r="E30" s="210"/>
      <c r="F30" s="790" t="s">
        <v>68</v>
      </c>
      <c r="G30" s="791"/>
      <c r="H30" s="19">
        <v>0</v>
      </c>
      <c r="I30" s="19">
        <v>0</v>
      </c>
      <c r="J30" s="19">
        <v>0</v>
      </c>
      <c r="K30" s="19">
        <v>0</v>
      </c>
      <c r="L30" s="19">
        <v>0</v>
      </c>
      <c r="M30" s="19">
        <v>0</v>
      </c>
      <c r="N30" s="19">
        <v>0</v>
      </c>
      <c r="O30" s="20">
        <v>0</v>
      </c>
      <c r="P30" s="205"/>
      <c r="Q30" s="769" t="s">
        <v>64</v>
      </c>
      <c r="R30" s="770"/>
      <c r="S30" s="26" t="s">
        <v>65</v>
      </c>
      <c r="T30" s="315" t="e">
        <f>'Feed(WS)'!$R$180</f>
        <v>#REF!</v>
      </c>
      <c r="U30" s="960"/>
      <c r="V30" s="18"/>
    </row>
    <row r="31" spans="1:26" x14ac:dyDescent="0.25">
      <c r="A31" s="205"/>
      <c r="B31" s="196">
        <v>8.75</v>
      </c>
      <c r="C31" s="15">
        <v>105.046875</v>
      </c>
      <c r="D31" s="16">
        <v>101.5</v>
      </c>
      <c r="E31" s="210"/>
      <c r="F31" s="790" t="s">
        <v>70</v>
      </c>
      <c r="G31" s="791"/>
      <c r="H31" s="19">
        <v>0</v>
      </c>
      <c r="I31" s="19">
        <v>0</v>
      </c>
      <c r="J31" s="19">
        <v>0</v>
      </c>
      <c r="K31" s="19">
        <v>0</v>
      </c>
      <c r="L31" s="19">
        <v>-0.25</v>
      </c>
      <c r="M31" s="19">
        <v>-0.375</v>
      </c>
      <c r="N31" s="19">
        <v>-0.5</v>
      </c>
      <c r="O31" s="20">
        <v>-0.5</v>
      </c>
      <c r="P31" s="205"/>
      <c r="Q31" s="769" t="s">
        <v>66</v>
      </c>
      <c r="R31" s="770"/>
      <c r="S31" s="26" t="s">
        <v>67</v>
      </c>
      <c r="T31" s="315" cm="1">
        <f t="array" ref="T31">IF(OR(
      AND(OR($S$31='Feed(WS)'!$R$4:$R$5), $S$21&lt;&gt;'Feed(WS)'!$J$3),
      AND(OR($S$31='Feed(WS)'!$R$4:$R$5), $S$25&lt;&gt;'Feed(WS)'!$M$4),
      AND(OR($S$31='Feed(WS)'!$R$4:$R$5), $S$21&lt;&gt;'Feed(WS)'!$L$3:$L$4),
   ),
   NA(),
   0)</f>
        <v>0</v>
      </c>
      <c r="U31" s="960"/>
      <c r="V31" s="18"/>
    </row>
    <row r="32" spans="1:26" x14ac:dyDescent="0.25">
      <c r="A32" s="205"/>
      <c r="B32" s="196">
        <v>8.875</v>
      </c>
      <c r="C32" s="15">
        <v>105.296875</v>
      </c>
      <c r="D32" s="16">
        <v>101.75</v>
      </c>
      <c r="E32" s="210"/>
      <c r="F32" s="790" t="s">
        <v>72</v>
      </c>
      <c r="G32" s="791"/>
      <c r="H32" s="19">
        <v>-0.125</v>
      </c>
      <c r="I32" s="19">
        <v>-0.125</v>
      </c>
      <c r="J32" s="19">
        <v>-0.375</v>
      </c>
      <c r="K32" s="19">
        <v>-0.5</v>
      </c>
      <c r="L32" s="19">
        <v>-0.75</v>
      </c>
      <c r="M32" s="19">
        <v>-1</v>
      </c>
      <c r="N32" s="19" t="s">
        <v>642</v>
      </c>
      <c r="O32" s="20" t="s">
        <v>642</v>
      </c>
      <c r="P32" s="205"/>
      <c r="Q32" s="769" t="s">
        <v>69</v>
      </c>
      <c r="R32" s="770"/>
      <c r="S32" s="26" t="s">
        <v>67</v>
      </c>
      <c r="T32" s="315">
        <v>0</v>
      </c>
      <c r="U32" s="960"/>
      <c r="V32" s="18"/>
    </row>
    <row r="33" spans="1:26" ht="15.75" customHeight="1" x14ac:dyDescent="0.25">
      <c r="A33" s="205"/>
      <c r="B33" s="196">
        <v>8.9990000000000006</v>
      </c>
      <c r="C33" s="15">
        <v>105.546875</v>
      </c>
      <c r="D33" s="16">
        <v>102.25</v>
      </c>
      <c r="E33" s="210"/>
      <c r="F33" s="790" t="s">
        <v>75</v>
      </c>
      <c r="G33" s="791"/>
      <c r="H33" s="19">
        <v>-0.25</v>
      </c>
      <c r="I33" s="19">
        <v>-0.25</v>
      </c>
      <c r="J33" s="19">
        <v>-0.25</v>
      </c>
      <c r="K33" s="19">
        <v>-0.25</v>
      </c>
      <c r="L33" s="19">
        <v>-0.25</v>
      </c>
      <c r="M33" s="19">
        <v>-0.5</v>
      </c>
      <c r="N33" s="19">
        <v>-0.625</v>
      </c>
      <c r="O33" s="20" t="s">
        <v>642</v>
      </c>
      <c r="P33" s="205"/>
      <c r="Q33" s="199" t="s">
        <v>73</v>
      </c>
      <c r="R33" s="200"/>
      <c r="S33" s="27" t="str">
        <f>IF(ISNA(V33),"Yes",IF(V33=0,"No",""))</f>
        <v>No</v>
      </c>
      <c r="T33" s="315">
        <f>'Feed(WS)'!$B$67</f>
        <v>0</v>
      </c>
      <c r="U33" s="960"/>
      <c r="V33" s="18"/>
    </row>
    <row r="34" spans="1:26" x14ac:dyDescent="0.25">
      <c r="A34" s="205"/>
      <c r="B34" s="196">
        <v>9.125</v>
      </c>
      <c r="C34" s="15">
        <v>105.796875</v>
      </c>
      <c r="D34" s="16">
        <v>102.5</v>
      </c>
      <c r="E34" s="210"/>
      <c r="F34" s="790" t="s">
        <v>76</v>
      </c>
      <c r="G34" s="791"/>
      <c r="H34" s="19">
        <v>-0.5</v>
      </c>
      <c r="I34" s="19">
        <v>-0.5</v>
      </c>
      <c r="J34" s="19">
        <v>-0.625</v>
      </c>
      <c r="K34" s="19">
        <v>-0.75</v>
      </c>
      <c r="L34" s="19">
        <v>-1</v>
      </c>
      <c r="M34" s="19">
        <v>-1.25</v>
      </c>
      <c r="N34" s="19" t="s">
        <v>642</v>
      </c>
      <c r="O34" s="20" t="s">
        <v>642</v>
      </c>
      <c r="P34" s="205"/>
      <c r="Q34" s="199" t="s">
        <v>73</v>
      </c>
      <c r="R34" s="200"/>
      <c r="S34" s="27" t="s">
        <v>74</v>
      </c>
      <c r="T34" s="315">
        <v>0</v>
      </c>
      <c r="U34" s="960"/>
      <c r="V34" s="18"/>
    </row>
    <row r="35" spans="1:26" ht="15.75" customHeight="1" x14ac:dyDescent="0.25">
      <c r="A35" s="205"/>
      <c r="B35" s="196">
        <v>9.25</v>
      </c>
      <c r="C35" s="15">
        <v>105.921875</v>
      </c>
      <c r="D35" s="16">
        <v>102.75</v>
      </c>
      <c r="E35" s="210"/>
      <c r="F35" s="914" t="s">
        <v>78</v>
      </c>
      <c r="G35" s="915"/>
      <c r="H35" s="915"/>
      <c r="I35" s="915"/>
      <c r="J35" s="915"/>
      <c r="K35" s="915"/>
      <c r="L35" s="915"/>
      <c r="M35" s="915"/>
      <c r="N35" s="915"/>
      <c r="O35" s="916"/>
      <c r="P35" s="205"/>
      <c r="Q35" s="769" t="s">
        <v>207</v>
      </c>
      <c r="R35" s="770"/>
      <c r="S35" s="27" t="str">
        <f>IF(V36=0,'Feed(WS)'!Y4,'Feed(WS)'!Y5)</f>
        <v>Not Applicable</v>
      </c>
      <c r="T35" s="315" t="b">
        <f>'Feed(WS)'!$Z$1</f>
        <v>0</v>
      </c>
      <c r="U35" s="960"/>
      <c r="V35" s="18"/>
    </row>
    <row r="36" spans="1:26" x14ac:dyDescent="0.25">
      <c r="A36" s="205"/>
      <c r="B36" s="196">
        <v>9.375</v>
      </c>
      <c r="C36" s="15">
        <v>106.046875</v>
      </c>
      <c r="D36" s="16">
        <v>103</v>
      </c>
      <c r="E36" s="210"/>
      <c r="F36" s="790" t="s">
        <v>80</v>
      </c>
      <c r="G36" s="791"/>
      <c r="H36" s="19">
        <v>-0.25</v>
      </c>
      <c r="I36" s="19">
        <v>-0.5</v>
      </c>
      <c r="J36" s="19">
        <v>-0.5</v>
      </c>
      <c r="K36" s="19">
        <v>-0.5</v>
      </c>
      <c r="L36" s="19">
        <v>-0.75</v>
      </c>
      <c r="M36" s="19">
        <v>-1</v>
      </c>
      <c r="N36" s="19">
        <v>-1.25</v>
      </c>
      <c r="O36" s="20">
        <v>-1.5</v>
      </c>
      <c r="P36" s="205"/>
      <c r="Q36" s="771" t="s">
        <v>77</v>
      </c>
      <c r="R36" s="772"/>
      <c r="S36" s="773"/>
      <c r="T36" s="202" t="e">
        <f>SUM($T$12:$T$35)</f>
        <v>#N/A</v>
      </c>
      <c r="U36" s="960"/>
      <c r="V36" s="18"/>
    </row>
    <row r="37" spans="1:26" ht="15.75" customHeight="1" x14ac:dyDescent="0.25">
      <c r="A37" s="205"/>
      <c r="B37" s="196">
        <v>9.4990000000000006</v>
      </c>
      <c r="C37" s="15">
        <v>106.171875</v>
      </c>
      <c r="D37" s="16">
        <v>103.25</v>
      </c>
      <c r="E37" s="210"/>
      <c r="F37" s="790" t="s">
        <v>82</v>
      </c>
      <c r="G37" s="791"/>
      <c r="H37" s="19">
        <v>0</v>
      </c>
      <c r="I37" s="19">
        <v>0</v>
      </c>
      <c r="J37" s="19">
        <v>0</v>
      </c>
      <c r="K37" s="19">
        <v>0</v>
      </c>
      <c r="L37" s="19">
        <v>0</v>
      </c>
      <c r="M37" s="19">
        <v>0</v>
      </c>
      <c r="N37" s="19">
        <v>-0.25</v>
      </c>
      <c r="O37" s="20">
        <v>-0.5</v>
      </c>
      <c r="P37" s="205"/>
      <c r="Q37" s="771" t="s">
        <v>79</v>
      </c>
      <c r="R37" s="772"/>
      <c r="S37" s="773"/>
      <c r="T37" s="202" cm="1">
        <f t="array" ref="T37">IF(AND($S$24='Feed(WS)'!$K$6,$S$17='Feed(WS)'!$D$5),INDEX($B$10:$D$50,MATCH($S$10,$B$10:$B$50,0),MATCH($S$24,$B$10:$D$10,0)),INDEX($B$10:$D$50,MATCH($S$10,$B$10:$B$50,0),MATCH($S$17,$B$10:$D$10,0)+1))</f>
        <v>0</v>
      </c>
      <c r="U37" s="960"/>
      <c r="V37" s="18"/>
      <c r="Z37" s="25"/>
    </row>
    <row r="38" spans="1:26" ht="15.75" customHeight="1" x14ac:dyDescent="0.25">
      <c r="A38" s="205"/>
      <c r="B38" s="196">
        <v>9.625</v>
      </c>
      <c r="C38" s="15">
        <v>106.296875</v>
      </c>
      <c r="D38" s="16">
        <v>103.5</v>
      </c>
      <c r="E38" s="210"/>
      <c r="F38" s="790" t="s">
        <v>84</v>
      </c>
      <c r="G38" s="791"/>
      <c r="H38" s="19">
        <v>0</v>
      </c>
      <c r="I38" s="19">
        <v>0</v>
      </c>
      <c r="J38" s="19">
        <v>0</v>
      </c>
      <c r="K38" s="19">
        <v>0</v>
      </c>
      <c r="L38" s="19">
        <v>0</v>
      </c>
      <c r="M38" s="19">
        <v>0</v>
      </c>
      <c r="N38" s="19">
        <v>0</v>
      </c>
      <c r="O38" s="20">
        <v>0</v>
      </c>
      <c r="P38" s="205"/>
      <c r="Q38" s="771" t="s">
        <v>81</v>
      </c>
      <c r="R38" s="772"/>
      <c r="S38" s="773"/>
      <c r="T38" s="202" t="str">
        <f>IFERROR(IF(AND($U$10&lt;&gt;'Feed(WS)'!$K$134,$T$39=$T$64),NA(),$T$37+$T$36),"#N/A")</f>
        <v>#N/A</v>
      </c>
      <c r="U38" s="960"/>
      <c r="V38" s="18"/>
    </row>
    <row r="39" spans="1:26" ht="15.75" customHeight="1" x14ac:dyDescent="0.25">
      <c r="A39" s="205"/>
      <c r="B39" s="196">
        <v>9.75</v>
      </c>
      <c r="C39" s="15">
        <v>106.421875</v>
      </c>
      <c r="D39" s="16">
        <v>103.75</v>
      </c>
      <c r="E39" s="210"/>
      <c r="F39" s="629" t="s">
        <v>86</v>
      </c>
      <c r="G39" s="630"/>
      <c r="H39" s="19">
        <v>0.375</v>
      </c>
      <c r="I39" s="19">
        <v>0.25</v>
      </c>
      <c r="J39" s="19">
        <v>0.25</v>
      </c>
      <c r="K39" s="19">
        <v>0.25</v>
      </c>
      <c r="L39" s="19">
        <v>0.25</v>
      </c>
      <c r="M39" s="19">
        <v>0</v>
      </c>
      <c r="N39" s="19">
        <v>0</v>
      </c>
      <c r="O39" s="20">
        <v>0</v>
      </c>
      <c r="P39" s="205"/>
      <c r="Q39" s="771" t="s">
        <v>83</v>
      </c>
      <c r="R39" s="772"/>
      <c r="S39" s="773"/>
      <c r="T39" s="202" t="e">
        <f>IF(OR('Feed(WS)'!$E$147=0, ISERROR('Feed(WS)'!$E$147)), NA(), 'Feed(WS)'!$E$147)</f>
        <v>#N/A</v>
      </c>
      <c r="U39" s="960"/>
      <c r="V39" s="18"/>
    </row>
    <row r="40" spans="1:26" ht="14.25" customHeight="1" x14ac:dyDescent="0.25">
      <c r="A40" s="205"/>
      <c r="B40" s="196">
        <v>9.875</v>
      </c>
      <c r="C40" s="15">
        <v>106.546875</v>
      </c>
      <c r="D40" s="16">
        <v>104</v>
      </c>
      <c r="E40" s="210"/>
      <c r="F40" s="629" t="s">
        <v>87</v>
      </c>
      <c r="G40" s="630"/>
      <c r="H40" s="19">
        <v>0</v>
      </c>
      <c r="I40" s="19">
        <v>0</v>
      </c>
      <c r="J40" s="19">
        <v>0</v>
      </c>
      <c r="K40" s="19">
        <v>0</v>
      </c>
      <c r="L40" s="19">
        <v>0</v>
      </c>
      <c r="M40" s="19">
        <v>0</v>
      </c>
      <c r="N40" s="19">
        <v>0</v>
      </c>
      <c r="O40" s="20">
        <v>0</v>
      </c>
      <c r="P40" s="205"/>
      <c r="Q40" s="774" t="s">
        <v>85</v>
      </c>
      <c r="R40" s="775"/>
      <c r="S40" s="776"/>
      <c r="T40" s="203" t="e">
        <f>IF(OR($T$36="#NA",$T$37="#NA"),NA(),IF(AND($U$9&lt;&gt;'Feed(WS)'!$K$134,$T$39=$T$64),NA(),IF($T$38&gt;$T$39,$T$39,$T$38)))</f>
        <v>#N/A</v>
      </c>
      <c r="U40" s="960"/>
      <c r="V40" s="18"/>
    </row>
    <row r="41" spans="1:26" ht="14.25" customHeight="1" x14ac:dyDescent="0.25">
      <c r="A41" s="205"/>
      <c r="B41" s="196">
        <v>9.9990000000000006</v>
      </c>
      <c r="C41" s="15">
        <v>106.671875</v>
      </c>
      <c r="D41" s="16">
        <v>104.25</v>
      </c>
      <c r="E41" s="210"/>
      <c r="F41" s="629" t="s">
        <v>89</v>
      </c>
      <c r="G41" s="630"/>
      <c r="H41" s="19">
        <v>-0.125</v>
      </c>
      <c r="I41" s="19">
        <v>-0.125</v>
      </c>
      <c r="J41" s="19">
        <v>-0.125</v>
      </c>
      <c r="K41" s="19">
        <v>-0.25</v>
      </c>
      <c r="L41" s="19">
        <v>-0.25</v>
      </c>
      <c r="M41" s="19">
        <v>-0.25</v>
      </c>
      <c r="N41" s="19">
        <v>-0.5</v>
      </c>
      <c r="O41" s="20" t="s">
        <v>642</v>
      </c>
      <c r="P41" s="205"/>
      <c r="Q41" s="774" t="str" cm="1">
        <f t="array" ref="Q41">IF(OR($S$11:$S$25="Choose a Selection"),"",CONCATENATE('Feed(WS)'!$I$134," ",'Feed(WS)'!$K$134,"%"&amp;" @ "&amp;'Feed(WS)'!$L$134))</f>
        <v/>
      </c>
      <c r="R41" s="775"/>
      <c r="S41" s="775"/>
      <c r="T41" s="782"/>
      <c r="U41" s="960"/>
      <c r="V41" s="18"/>
    </row>
    <row r="42" spans="1:26" ht="15.75" customHeight="1" x14ac:dyDescent="0.25">
      <c r="A42" s="205"/>
      <c r="B42" s="196">
        <v>10.125</v>
      </c>
      <c r="C42" s="15">
        <v>106.796875</v>
      </c>
      <c r="D42" s="16">
        <v>104.5</v>
      </c>
      <c r="E42" s="210"/>
      <c r="F42" s="629" t="s">
        <v>90</v>
      </c>
      <c r="G42" s="630"/>
      <c r="H42" s="19">
        <v>-0.375</v>
      </c>
      <c r="I42" s="19">
        <v>-0.375</v>
      </c>
      <c r="J42" s="19">
        <v>-0.5</v>
      </c>
      <c r="K42" s="19">
        <v>-0.5</v>
      </c>
      <c r="L42" s="19">
        <v>-0.5</v>
      </c>
      <c r="M42" s="19">
        <v>-0.5</v>
      </c>
      <c r="N42" s="19">
        <v>-0.75</v>
      </c>
      <c r="O42" s="20" t="s">
        <v>642</v>
      </c>
      <c r="P42" s="205"/>
      <c r="Q42" s="917" t="s">
        <v>88</v>
      </c>
      <c r="R42" s="917"/>
      <c r="S42" s="917"/>
      <c r="T42" s="918"/>
      <c r="U42" s="960"/>
      <c r="V42" s="18"/>
    </row>
    <row r="43" spans="1:26" ht="14.25" customHeight="1" x14ac:dyDescent="0.25">
      <c r="A43" s="205"/>
      <c r="B43" s="196">
        <v>10.25</v>
      </c>
      <c r="C43" s="15">
        <v>106.921875</v>
      </c>
      <c r="D43" s="16">
        <v>104.75</v>
      </c>
      <c r="E43" s="210"/>
      <c r="F43" s="629" t="s">
        <v>91</v>
      </c>
      <c r="G43" s="630"/>
      <c r="H43" s="19">
        <v>-1</v>
      </c>
      <c r="I43" s="19">
        <v>-1</v>
      </c>
      <c r="J43" s="19">
        <v>-1</v>
      </c>
      <c r="K43" s="19">
        <v>-1</v>
      </c>
      <c r="L43" s="19">
        <v>-1.25</v>
      </c>
      <c r="M43" s="19">
        <v>-1.5</v>
      </c>
      <c r="N43" s="19" t="s">
        <v>642</v>
      </c>
      <c r="O43" s="20" t="s">
        <v>642</v>
      </c>
      <c r="P43" s="205"/>
      <c r="Q43" s="919"/>
      <c r="R43" s="919"/>
      <c r="S43" s="919"/>
      <c r="T43" s="920"/>
      <c r="U43" s="960"/>
      <c r="V43" s="18"/>
    </row>
    <row r="44" spans="1:26" ht="15.75" customHeight="1" x14ac:dyDescent="0.25">
      <c r="A44" s="205"/>
      <c r="B44" s="196">
        <v>10.375</v>
      </c>
      <c r="C44" s="15">
        <v>107.046875</v>
      </c>
      <c r="D44" s="16">
        <v>105</v>
      </c>
      <c r="E44" s="210"/>
      <c r="F44" s="629" t="s">
        <v>92</v>
      </c>
      <c r="G44" s="630"/>
      <c r="H44" s="19">
        <v>-2</v>
      </c>
      <c r="I44" s="19">
        <v>-2.25</v>
      </c>
      <c r="J44" s="19">
        <v>-2.5</v>
      </c>
      <c r="K44" s="19">
        <v>-3</v>
      </c>
      <c r="L44" s="19" t="s">
        <v>642</v>
      </c>
      <c r="M44" s="19" t="s">
        <v>642</v>
      </c>
      <c r="N44" s="19" t="s">
        <v>642</v>
      </c>
      <c r="O44" s="20" t="s">
        <v>642</v>
      </c>
      <c r="P44" s="205"/>
      <c r="Q44" s="919"/>
      <c r="R44" s="919"/>
      <c r="S44" s="919"/>
      <c r="T44" s="920"/>
      <c r="U44" s="960"/>
      <c r="V44" s="18"/>
    </row>
    <row r="45" spans="1:26" ht="14.25" customHeight="1" x14ac:dyDescent="0.25">
      <c r="A45" s="205"/>
      <c r="B45" s="196">
        <v>10.499000000000001</v>
      </c>
      <c r="C45" s="15">
        <v>107.171875</v>
      </c>
      <c r="D45" s="16">
        <v>105.25</v>
      </c>
      <c r="E45" s="210"/>
      <c r="F45" s="914" t="s">
        <v>185</v>
      </c>
      <c r="G45" s="915"/>
      <c r="H45" s="915"/>
      <c r="I45" s="915"/>
      <c r="J45" s="915"/>
      <c r="K45" s="915"/>
      <c r="L45" s="915"/>
      <c r="M45" s="915"/>
      <c r="N45" s="915"/>
      <c r="O45" s="916"/>
      <c r="P45" s="205"/>
      <c r="Q45" s="919"/>
      <c r="R45" s="919"/>
      <c r="S45" s="919"/>
      <c r="T45" s="920"/>
      <c r="U45" s="960"/>
      <c r="V45" s="18"/>
    </row>
    <row r="46" spans="1:26" ht="14.25" customHeight="1" x14ac:dyDescent="0.25">
      <c r="A46" s="205"/>
      <c r="B46" s="196">
        <v>10.625</v>
      </c>
      <c r="C46" s="15">
        <v>107.296875</v>
      </c>
      <c r="D46" s="16">
        <v>105.5</v>
      </c>
      <c r="E46" s="210"/>
      <c r="F46" s="790" t="s">
        <v>98</v>
      </c>
      <c r="G46" s="791"/>
      <c r="H46" s="19">
        <v>-1</v>
      </c>
      <c r="I46" s="19">
        <v>-1</v>
      </c>
      <c r="J46" s="19">
        <v>-1</v>
      </c>
      <c r="K46" s="19">
        <v>-1</v>
      </c>
      <c r="L46" s="19">
        <v>-1</v>
      </c>
      <c r="M46" s="19">
        <v>-1.5</v>
      </c>
      <c r="N46" s="19" t="s">
        <v>642</v>
      </c>
      <c r="O46" s="20" t="s">
        <v>642</v>
      </c>
      <c r="P46" s="205"/>
      <c r="Q46" s="924"/>
      <c r="R46" s="924"/>
      <c r="S46" s="924"/>
      <c r="T46" s="925"/>
      <c r="U46" s="960"/>
      <c r="V46" s="18"/>
    </row>
    <row r="47" spans="1:26" ht="14.25" customHeight="1" x14ac:dyDescent="0.25">
      <c r="A47" s="205"/>
      <c r="B47" s="196">
        <v>10.75</v>
      </c>
      <c r="C47" s="15">
        <v>107.421875</v>
      </c>
      <c r="D47" s="16">
        <v>105.75</v>
      </c>
      <c r="E47" s="210"/>
      <c r="F47" s="790" t="s">
        <v>186</v>
      </c>
      <c r="G47" s="791"/>
      <c r="H47" s="19">
        <v>-0.5</v>
      </c>
      <c r="I47" s="19">
        <v>-0.5</v>
      </c>
      <c r="J47" s="19">
        <v>-0.5</v>
      </c>
      <c r="K47" s="19">
        <v>-0.5</v>
      </c>
      <c r="L47" s="19">
        <v>-0.625</v>
      </c>
      <c r="M47" s="19">
        <v>-0.75</v>
      </c>
      <c r="N47" s="19">
        <v>-1</v>
      </c>
      <c r="O47" s="20" t="s">
        <v>642</v>
      </c>
      <c r="P47" s="205"/>
      <c r="Q47" s="917" t="s">
        <v>94</v>
      </c>
      <c r="R47" s="917"/>
      <c r="S47" s="917"/>
      <c r="T47" s="918"/>
      <c r="U47" s="960"/>
      <c r="V47" s="18"/>
    </row>
    <row r="48" spans="1:26" ht="15.75" customHeight="1" x14ac:dyDescent="0.25">
      <c r="A48" s="205"/>
      <c r="B48" s="196">
        <v>10.875</v>
      </c>
      <c r="C48" s="15">
        <v>107.546875</v>
      </c>
      <c r="D48" s="16">
        <v>106</v>
      </c>
      <c r="E48" s="210"/>
      <c r="F48" s="790" t="s">
        <v>99</v>
      </c>
      <c r="G48" s="791"/>
      <c r="H48" s="19">
        <v>0</v>
      </c>
      <c r="I48" s="19">
        <v>0</v>
      </c>
      <c r="J48" s="19">
        <v>0</v>
      </c>
      <c r="K48" s="19">
        <v>0</v>
      </c>
      <c r="L48" s="19">
        <v>0</v>
      </c>
      <c r="M48" s="19">
        <v>0</v>
      </c>
      <c r="N48" s="19">
        <v>0</v>
      </c>
      <c r="O48" s="20" t="s">
        <v>642</v>
      </c>
      <c r="P48" s="205"/>
      <c r="Q48" s="919"/>
      <c r="R48" s="919"/>
      <c r="S48" s="919"/>
      <c r="T48" s="920"/>
      <c r="U48" s="341"/>
      <c r="V48" s="18"/>
    </row>
    <row r="49" spans="1:22" ht="15.75" customHeight="1" x14ac:dyDescent="0.25">
      <c r="A49" s="205"/>
      <c r="B49" s="196">
        <v>10.999000000000001</v>
      </c>
      <c r="C49" s="15">
        <v>107.671875</v>
      </c>
      <c r="D49" s="16">
        <v>106.25</v>
      </c>
      <c r="E49" s="210"/>
      <c r="F49" s="790" t="s">
        <v>100</v>
      </c>
      <c r="G49" s="791"/>
      <c r="H49" s="19">
        <v>-0.25</v>
      </c>
      <c r="I49" s="19">
        <v>-0.25</v>
      </c>
      <c r="J49" s="19">
        <v>-0.25</v>
      </c>
      <c r="K49" s="19">
        <v>-0.25</v>
      </c>
      <c r="L49" s="19">
        <v>-0.25</v>
      </c>
      <c r="M49" s="19">
        <v>-0.25</v>
      </c>
      <c r="N49" s="19">
        <v>-0.25</v>
      </c>
      <c r="O49" s="20" t="s">
        <v>642</v>
      </c>
      <c r="P49" s="205"/>
      <c r="Q49" s="919"/>
      <c r="R49" s="919"/>
      <c r="S49" s="919"/>
      <c r="T49" s="920"/>
      <c r="U49" s="211"/>
      <c r="V49" s="18"/>
    </row>
    <row r="50" spans="1:22" x14ac:dyDescent="0.25">
      <c r="A50" s="205"/>
      <c r="B50" s="196">
        <v>11.125</v>
      </c>
      <c r="C50" s="15">
        <v>107.796875</v>
      </c>
      <c r="D50" s="16">
        <v>106.5</v>
      </c>
      <c r="E50" s="210"/>
      <c r="F50" s="790" t="s">
        <v>195</v>
      </c>
      <c r="G50" s="791"/>
      <c r="H50" s="19">
        <v>0</v>
      </c>
      <c r="I50" s="19">
        <v>0</v>
      </c>
      <c r="J50" s="19">
        <v>0</v>
      </c>
      <c r="K50" s="19">
        <v>0</v>
      </c>
      <c r="L50" s="19">
        <v>0</v>
      </c>
      <c r="M50" s="19">
        <v>0</v>
      </c>
      <c r="N50" s="19">
        <v>0</v>
      </c>
      <c r="O50" s="20" t="s">
        <v>642</v>
      </c>
      <c r="P50" s="205"/>
      <c r="Q50" s="919"/>
      <c r="R50" s="919"/>
      <c r="S50" s="919"/>
      <c r="T50" s="920"/>
      <c r="U50" s="205"/>
      <c r="V50" s="18"/>
    </row>
    <row r="51" spans="1:22" ht="13.5" customHeight="1" x14ac:dyDescent="0.25">
      <c r="A51" s="205"/>
      <c r="B51" s="327"/>
      <c r="C51" s="327"/>
      <c r="D51" s="327"/>
      <c r="E51" s="205"/>
      <c r="F51" s="914" t="s">
        <v>58</v>
      </c>
      <c r="G51" s="915"/>
      <c r="H51" s="915"/>
      <c r="I51" s="915"/>
      <c r="J51" s="915"/>
      <c r="K51" s="915"/>
      <c r="L51" s="915"/>
      <c r="M51" s="915"/>
      <c r="N51" s="915"/>
      <c r="O51" s="916"/>
      <c r="P51" s="211"/>
      <c r="Q51" s="327"/>
      <c r="R51" s="327"/>
      <c r="S51" s="327"/>
      <c r="T51" s="327"/>
      <c r="U51" s="205"/>
    </row>
    <row r="52" spans="1:22" ht="15.75" customHeight="1" x14ac:dyDescent="0.25">
      <c r="A52" s="205"/>
      <c r="B52" s="328"/>
      <c r="C52" s="328"/>
      <c r="D52" s="328"/>
      <c r="E52" s="205"/>
      <c r="F52" s="629" t="s">
        <v>102</v>
      </c>
      <c r="G52" s="630"/>
      <c r="H52" s="70">
        <v>-1</v>
      </c>
      <c r="I52" s="70">
        <v>-1</v>
      </c>
      <c r="J52" s="70">
        <v>-1</v>
      </c>
      <c r="K52" s="70">
        <v>-1</v>
      </c>
      <c r="L52" s="70">
        <v>-1</v>
      </c>
      <c r="M52" s="70">
        <v>-1</v>
      </c>
      <c r="N52" s="70">
        <v>-1</v>
      </c>
      <c r="O52" s="71">
        <v>-1</v>
      </c>
      <c r="P52" s="205"/>
      <c r="Q52" s="328"/>
      <c r="R52" s="328"/>
      <c r="S52" s="328"/>
      <c r="T52" s="328"/>
      <c r="U52" s="205"/>
    </row>
    <row r="53" spans="1:22" x14ac:dyDescent="0.25">
      <c r="A53" s="205"/>
      <c r="B53" s="337"/>
      <c r="C53" s="337"/>
      <c r="D53" s="337"/>
      <c r="E53" s="212"/>
      <c r="F53" s="629" t="s">
        <v>107</v>
      </c>
      <c r="G53" s="630"/>
      <c r="H53" s="70">
        <v>-2</v>
      </c>
      <c r="I53" s="70">
        <v>-2</v>
      </c>
      <c r="J53" s="70">
        <v>-2</v>
      </c>
      <c r="K53" s="70">
        <v>-2</v>
      </c>
      <c r="L53" s="70">
        <v>-2</v>
      </c>
      <c r="M53" s="70">
        <v>-2</v>
      </c>
      <c r="N53" s="70">
        <v>-2</v>
      </c>
      <c r="O53" s="71">
        <v>-2</v>
      </c>
      <c r="P53" s="205"/>
      <c r="Q53" s="263"/>
      <c r="R53" s="263"/>
      <c r="S53" s="263"/>
      <c r="T53" s="263"/>
      <c r="U53" s="205"/>
    </row>
    <row r="54" spans="1:22" ht="15.75" customHeight="1" x14ac:dyDescent="0.25">
      <c r="A54" s="205"/>
      <c r="B54" s="338"/>
      <c r="C54" s="338"/>
      <c r="D54" s="338"/>
      <c r="E54" s="213"/>
      <c r="F54" s="629" t="s">
        <v>112</v>
      </c>
      <c r="G54" s="630"/>
      <c r="H54" s="70">
        <v>-1</v>
      </c>
      <c r="I54" s="70">
        <v>-1</v>
      </c>
      <c r="J54" s="70">
        <v>-1</v>
      </c>
      <c r="K54" s="70">
        <v>-1</v>
      </c>
      <c r="L54" s="70">
        <v>-1</v>
      </c>
      <c r="M54" s="70">
        <v>-1</v>
      </c>
      <c r="N54" s="70">
        <v>-1</v>
      </c>
      <c r="O54" s="71">
        <v>-1</v>
      </c>
      <c r="P54" s="205"/>
      <c r="Q54" s="263"/>
      <c r="R54" s="263"/>
      <c r="S54" s="263"/>
      <c r="T54" s="263"/>
      <c r="U54" s="205"/>
    </row>
    <row r="55" spans="1:22" ht="15.75" customHeight="1" x14ac:dyDescent="0.25">
      <c r="A55" s="205"/>
      <c r="B55" s="962" t="s">
        <v>64</v>
      </c>
      <c r="C55" s="962"/>
      <c r="D55" s="298" t="s">
        <v>101</v>
      </c>
      <c r="E55" s="213"/>
      <c r="F55" s="629" t="s">
        <v>116</v>
      </c>
      <c r="G55" s="630"/>
      <c r="H55" s="70">
        <v>-0.5</v>
      </c>
      <c r="I55" s="70">
        <v>-0.5</v>
      </c>
      <c r="J55" s="70">
        <v>-0.5</v>
      </c>
      <c r="K55" s="70">
        <v>-0.5</v>
      </c>
      <c r="L55" s="70">
        <v>-0.5</v>
      </c>
      <c r="M55" s="70">
        <v>-0.5</v>
      </c>
      <c r="N55" s="70">
        <v>-0.5</v>
      </c>
      <c r="O55" s="71">
        <v>-0.5</v>
      </c>
      <c r="P55" s="205"/>
      <c r="Q55" s="961" t="s">
        <v>103</v>
      </c>
      <c r="R55" s="940"/>
      <c r="S55" s="298" t="s">
        <v>62</v>
      </c>
      <c r="T55" s="298" t="s">
        <v>101</v>
      </c>
      <c r="U55" s="205"/>
    </row>
    <row r="56" spans="1:22" ht="15.75" customHeight="1" x14ac:dyDescent="0.25">
      <c r="A56" s="205"/>
      <c r="B56" s="670" t="s">
        <v>106</v>
      </c>
      <c r="C56" s="670"/>
      <c r="D56" s="72">
        <v>-0.25</v>
      </c>
      <c r="E56" s="215"/>
      <c r="F56" s="629" t="s">
        <v>121</v>
      </c>
      <c r="G56" s="630"/>
      <c r="H56" s="70">
        <v>0.25</v>
      </c>
      <c r="I56" s="70">
        <v>0.25</v>
      </c>
      <c r="J56" s="70">
        <v>0.25</v>
      </c>
      <c r="K56" s="70">
        <v>0.25</v>
      </c>
      <c r="L56" s="70">
        <v>0.25</v>
      </c>
      <c r="M56" s="70">
        <v>0.25</v>
      </c>
      <c r="N56" s="70">
        <v>0.25</v>
      </c>
      <c r="O56" s="70">
        <v>0.25</v>
      </c>
      <c r="P56" s="205"/>
      <c r="Q56" s="73" t="s">
        <v>108</v>
      </c>
      <c r="R56" s="42">
        <v>102</v>
      </c>
      <c r="S56" s="74" t="s">
        <v>187</v>
      </c>
      <c r="T56" s="75">
        <v>-0.25</v>
      </c>
      <c r="U56" s="205"/>
    </row>
    <row r="57" spans="1:22" ht="15.75" customHeight="1" x14ac:dyDescent="0.25">
      <c r="A57" s="205"/>
      <c r="B57" s="670" t="s">
        <v>111</v>
      </c>
      <c r="C57" s="670"/>
      <c r="D57" s="72">
        <v>-0.5</v>
      </c>
      <c r="E57" s="217"/>
      <c r="F57" s="629" t="s">
        <v>125</v>
      </c>
      <c r="G57" s="630"/>
      <c r="H57" s="70">
        <v>0.375</v>
      </c>
      <c r="I57" s="70">
        <v>0.375</v>
      </c>
      <c r="J57" s="70">
        <v>0.375</v>
      </c>
      <c r="K57" s="70">
        <v>0.375</v>
      </c>
      <c r="L57" s="70">
        <v>0.375</v>
      </c>
      <c r="M57" s="70">
        <v>0.375</v>
      </c>
      <c r="N57" s="70">
        <v>0.375</v>
      </c>
      <c r="O57" s="70">
        <v>0.375</v>
      </c>
      <c r="P57" s="205"/>
      <c r="Q57" s="73" t="s">
        <v>90</v>
      </c>
      <c r="R57" s="76">
        <v>101</v>
      </c>
      <c r="S57" s="74" t="s">
        <v>188</v>
      </c>
      <c r="T57" s="77">
        <v>-0.25</v>
      </c>
      <c r="U57" s="205"/>
    </row>
    <row r="58" spans="1:22" x14ac:dyDescent="0.25">
      <c r="A58" s="205"/>
      <c r="B58" s="936" t="s">
        <v>115</v>
      </c>
      <c r="C58" s="937"/>
      <c r="D58" s="937"/>
      <c r="E58" s="218"/>
      <c r="F58" s="629" t="s">
        <v>129</v>
      </c>
      <c r="G58" s="630"/>
      <c r="H58" s="70">
        <v>0.625</v>
      </c>
      <c r="I58" s="70">
        <v>0.625</v>
      </c>
      <c r="J58" s="70">
        <v>0.625</v>
      </c>
      <c r="K58" s="70">
        <v>0.625</v>
      </c>
      <c r="L58" s="70">
        <v>0.625</v>
      </c>
      <c r="M58" s="70">
        <v>0.625</v>
      </c>
      <c r="N58" s="70">
        <v>0.625</v>
      </c>
      <c r="O58" s="70">
        <v>0.625</v>
      </c>
      <c r="P58" s="211"/>
      <c r="Q58" s="73" t="s">
        <v>117</v>
      </c>
      <c r="R58" s="76">
        <v>101</v>
      </c>
      <c r="S58" s="74" t="s">
        <v>189</v>
      </c>
      <c r="T58" s="77">
        <v>-0.25</v>
      </c>
      <c r="U58" s="205"/>
      <c r="V58" s="3"/>
    </row>
    <row r="59" spans="1:22" ht="15.75" customHeight="1" x14ac:dyDescent="0.25">
      <c r="A59" s="205"/>
      <c r="B59" s="673" t="s">
        <v>190</v>
      </c>
      <c r="C59" s="674"/>
      <c r="D59" s="674"/>
      <c r="E59" s="216"/>
      <c r="F59" s="629" t="s">
        <v>131</v>
      </c>
      <c r="G59" s="630"/>
      <c r="H59" s="70">
        <v>-1</v>
      </c>
      <c r="I59" s="70">
        <v>-1</v>
      </c>
      <c r="J59" s="70">
        <v>-1</v>
      </c>
      <c r="K59" s="70">
        <v>-1</v>
      </c>
      <c r="L59" s="70">
        <v>-1</v>
      </c>
      <c r="M59" s="70">
        <v>-1</v>
      </c>
      <c r="N59" s="70">
        <v>-1</v>
      </c>
      <c r="O59" s="71">
        <v>-1</v>
      </c>
      <c r="P59" s="211"/>
      <c r="Q59" s="73" t="s">
        <v>122</v>
      </c>
      <c r="R59" s="76">
        <v>101</v>
      </c>
      <c r="S59" s="74" t="s">
        <v>191</v>
      </c>
      <c r="T59" s="77">
        <v>-0.25</v>
      </c>
      <c r="U59" s="205"/>
      <c r="V59" s="3"/>
    </row>
    <row r="60" spans="1:22" x14ac:dyDescent="0.25">
      <c r="A60" s="205"/>
      <c r="B60" s="673"/>
      <c r="C60" s="674"/>
      <c r="D60" s="674"/>
      <c r="E60" s="216"/>
      <c r="F60" s="629" t="s">
        <v>133</v>
      </c>
      <c r="G60" s="630"/>
      <c r="H60" s="70">
        <v>-0.5</v>
      </c>
      <c r="I60" s="70">
        <v>-0.5</v>
      </c>
      <c r="J60" s="70">
        <v>-0.5</v>
      </c>
      <c r="K60" s="70">
        <v>-0.5</v>
      </c>
      <c r="L60" s="70">
        <v>-0.5</v>
      </c>
      <c r="M60" s="70">
        <v>-0.5</v>
      </c>
      <c r="N60" s="70">
        <v>-0.5</v>
      </c>
      <c r="O60" s="71">
        <v>-0.5</v>
      </c>
      <c r="P60" s="205"/>
      <c r="Q60" s="73" t="s">
        <v>126</v>
      </c>
      <c r="R60" s="76">
        <v>100</v>
      </c>
      <c r="S60" s="74" t="s">
        <v>192</v>
      </c>
      <c r="T60" s="77">
        <v>-0.25</v>
      </c>
      <c r="U60" s="205"/>
      <c r="V60" s="3"/>
    </row>
    <row r="61" spans="1:22" ht="15.75" customHeight="1" x14ac:dyDescent="0.25">
      <c r="A61" s="205"/>
      <c r="B61" s="673"/>
      <c r="C61" s="674"/>
      <c r="D61" s="674"/>
      <c r="E61" s="219"/>
      <c r="F61" s="629" t="s">
        <v>136</v>
      </c>
      <c r="G61" s="630"/>
      <c r="H61" s="70">
        <v>0.375</v>
      </c>
      <c r="I61" s="70">
        <v>0.375</v>
      </c>
      <c r="J61" s="70">
        <v>0.375</v>
      </c>
      <c r="K61" s="70">
        <v>0.375</v>
      </c>
      <c r="L61" s="70">
        <v>0.375</v>
      </c>
      <c r="M61" s="70">
        <v>0.375</v>
      </c>
      <c r="N61" s="70">
        <v>0.375</v>
      </c>
      <c r="O61" s="71">
        <v>0.375</v>
      </c>
      <c r="P61" s="205"/>
      <c r="Q61" s="73" t="s">
        <v>130</v>
      </c>
      <c r="R61" s="76">
        <v>100</v>
      </c>
      <c r="S61" s="74" t="s">
        <v>193</v>
      </c>
      <c r="T61" s="77">
        <v>-0.25</v>
      </c>
      <c r="U61" s="205"/>
      <c r="V61" s="3"/>
    </row>
    <row r="62" spans="1:22" ht="15.75" customHeight="1" x14ac:dyDescent="0.25">
      <c r="A62" s="205"/>
      <c r="B62" s="673"/>
      <c r="C62" s="674"/>
      <c r="D62" s="674"/>
      <c r="E62" s="220"/>
      <c r="F62" s="629" t="s">
        <v>138</v>
      </c>
      <c r="G62" s="630"/>
      <c r="H62" s="70">
        <v>0.5</v>
      </c>
      <c r="I62" s="70">
        <v>0.5</v>
      </c>
      <c r="J62" s="70">
        <v>0.5</v>
      </c>
      <c r="K62" s="70">
        <v>0.5</v>
      </c>
      <c r="L62" s="70">
        <v>0.5</v>
      </c>
      <c r="M62" s="70">
        <v>0.5</v>
      </c>
      <c r="N62" s="70">
        <v>0.5</v>
      </c>
      <c r="O62" s="71">
        <v>0.5</v>
      </c>
      <c r="P62" s="211"/>
      <c r="Q62" s="73" t="s">
        <v>132</v>
      </c>
      <c r="R62" s="76">
        <v>101</v>
      </c>
      <c r="S62" s="298" t="s">
        <v>104</v>
      </c>
      <c r="T62" s="298" t="s">
        <v>101</v>
      </c>
      <c r="U62" s="205"/>
      <c r="V62" s="3"/>
    </row>
    <row r="63" spans="1:22" ht="15.75" customHeight="1" x14ac:dyDescent="0.25">
      <c r="A63" s="205"/>
      <c r="B63" s="673"/>
      <c r="C63" s="674"/>
      <c r="D63" s="674"/>
      <c r="E63" s="220"/>
      <c r="F63" s="629" t="s">
        <v>141</v>
      </c>
      <c r="G63" s="630"/>
      <c r="H63" s="70">
        <v>0.875</v>
      </c>
      <c r="I63" s="70">
        <v>0.875</v>
      </c>
      <c r="J63" s="70">
        <v>0.875</v>
      </c>
      <c r="K63" s="70">
        <v>0.875</v>
      </c>
      <c r="L63" s="70">
        <v>0.875</v>
      </c>
      <c r="M63" s="70">
        <v>0.875</v>
      </c>
      <c r="N63" s="70">
        <v>0.875</v>
      </c>
      <c r="O63" s="71">
        <v>0.875</v>
      </c>
      <c r="P63" s="211"/>
      <c r="Q63" s="73" t="s">
        <v>194</v>
      </c>
      <c r="R63" s="76">
        <v>100</v>
      </c>
      <c r="S63" s="39" t="s">
        <v>135</v>
      </c>
      <c r="T63" s="78">
        <v>0.25</v>
      </c>
      <c r="U63" s="205"/>
      <c r="V63" s="3"/>
    </row>
    <row r="64" spans="1:22" ht="15.75" customHeight="1" x14ac:dyDescent="0.25">
      <c r="A64" s="205"/>
      <c r="B64" s="673"/>
      <c r="C64" s="674"/>
      <c r="D64" s="674"/>
      <c r="E64" s="216"/>
      <c r="F64" s="928" t="s">
        <v>143</v>
      </c>
      <c r="G64" s="949"/>
      <c r="H64" s="949"/>
      <c r="I64" s="949"/>
      <c r="J64" s="949"/>
      <c r="K64" s="949"/>
      <c r="L64" s="949"/>
      <c r="M64" s="949"/>
      <c r="N64" s="949"/>
      <c r="O64" s="929"/>
      <c r="P64" s="211"/>
      <c r="Q64" s="73" t="s">
        <v>195</v>
      </c>
      <c r="R64" s="76">
        <v>100</v>
      </c>
      <c r="S64" s="39" t="s">
        <v>53</v>
      </c>
      <c r="T64" s="78">
        <v>0</v>
      </c>
      <c r="U64" s="205"/>
      <c r="V64" s="3"/>
    </row>
    <row r="65" spans="1:35" ht="15.75" customHeight="1" x14ac:dyDescent="0.25">
      <c r="A65" s="205"/>
      <c r="B65" s="673"/>
      <c r="C65" s="674"/>
      <c r="D65" s="674"/>
      <c r="E65" s="216"/>
      <c r="F65" s="629" t="s">
        <v>145</v>
      </c>
      <c r="G65" s="630"/>
      <c r="H65" s="19">
        <v>-0.25</v>
      </c>
      <c r="I65" s="19">
        <v>-0.25</v>
      </c>
      <c r="J65" s="19">
        <v>-0.25</v>
      </c>
      <c r="K65" s="19">
        <v>-0.375</v>
      </c>
      <c r="L65" s="19">
        <v>-0.5</v>
      </c>
      <c r="M65" s="19">
        <v>-0.5</v>
      </c>
      <c r="N65" s="19">
        <v>-0.5</v>
      </c>
      <c r="O65" s="20" t="s">
        <v>642</v>
      </c>
      <c r="P65" s="205"/>
      <c r="Q65" s="962" t="s">
        <v>134</v>
      </c>
      <c r="R65" s="962"/>
      <c r="S65" s="39" t="s">
        <v>140</v>
      </c>
      <c r="T65" s="78">
        <v>-0.5</v>
      </c>
      <c r="U65" s="205"/>
      <c r="V65" s="3"/>
    </row>
    <row r="66" spans="1:35" ht="15.75" customHeight="1" x14ac:dyDescent="0.25">
      <c r="A66" s="205"/>
      <c r="B66" s="673"/>
      <c r="C66" s="674"/>
      <c r="D66" s="674"/>
      <c r="E66" s="221"/>
      <c r="F66" s="629" t="s">
        <v>196</v>
      </c>
      <c r="G66" s="630"/>
      <c r="H66" s="19">
        <v>-0.25</v>
      </c>
      <c r="I66" s="19">
        <v>-0.25</v>
      </c>
      <c r="J66" s="19">
        <v>-0.5</v>
      </c>
      <c r="K66" s="19">
        <v>-0.5</v>
      </c>
      <c r="L66" s="19">
        <v>-0.75</v>
      </c>
      <c r="M66" s="19">
        <v>-0.75</v>
      </c>
      <c r="N66" s="19">
        <v>-0.75</v>
      </c>
      <c r="O66" s="20" t="s">
        <v>642</v>
      </c>
      <c r="P66" s="205"/>
      <c r="Q66" s="73" t="s">
        <v>137</v>
      </c>
      <c r="R66" s="79">
        <v>99.75</v>
      </c>
      <c r="S66" s="43" t="s">
        <v>142</v>
      </c>
      <c r="T66" s="78">
        <v>0</v>
      </c>
      <c r="U66" s="205"/>
      <c r="V66" s="3"/>
    </row>
    <row r="67" spans="1:35" ht="15.75" customHeight="1" x14ac:dyDescent="0.25">
      <c r="A67" s="205"/>
      <c r="B67" s="673"/>
      <c r="C67" s="674"/>
      <c r="D67" s="674"/>
      <c r="E67" s="222"/>
      <c r="F67" s="629" t="s">
        <v>151</v>
      </c>
      <c r="G67" s="630"/>
      <c r="H67" s="19">
        <v>-0.25</v>
      </c>
      <c r="I67" s="19">
        <v>-0.25</v>
      </c>
      <c r="J67" s="19">
        <v>-0.25</v>
      </c>
      <c r="K67" s="19">
        <v>-0.25</v>
      </c>
      <c r="L67" s="19">
        <v>-0.25</v>
      </c>
      <c r="M67" s="19">
        <v>-0.5</v>
      </c>
      <c r="N67" s="19">
        <v>-0.5</v>
      </c>
      <c r="O67" s="20">
        <v>-0.5</v>
      </c>
      <c r="P67" s="205"/>
      <c r="Q67" s="961" t="s">
        <v>139</v>
      </c>
      <c r="R67" s="940"/>
      <c r="S67" s="39" t="s">
        <v>144</v>
      </c>
      <c r="T67" s="78">
        <v>-0.5</v>
      </c>
      <c r="U67" s="205"/>
      <c r="V67" s="3"/>
    </row>
    <row r="68" spans="1:35" x14ac:dyDescent="0.25">
      <c r="A68" s="205"/>
      <c r="B68" s="673"/>
      <c r="C68" s="674"/>
      <c r="D68" s="674"/>
      <c r="E68" s="216"/>
      <c r="F68" s="629" t="s">
        <v>157</v>
      </c>
      <c r="G68" s="630"/>
      <c r="H68" s="19">
        <v>-1.5</v>
      </c>
      <c r="I68" s="19">
        <v>-1.5</v>
      </c>
      <c r="J68" s="19">
        <v>-1.5</v>
      </c>
      <c r="K68" s="19">
        <v>-1.5</v>
      </c>
      <c r="L68" s="19">
        <v>-1.5</v>
      </c>
      <c r="M68" s="19">
        <v>-2</v>
      </c>
      <c r="N68" s="19" t="s">
        <v>642</v>
      </c>
      <c r="O68" s="20" t="s">
        <v>642</v>
      </c>
      <c r="P68" s="205"/>
      <c r="Q68" s="74" t="s">
        <v>90</v>
      </c>
      <c r="R68" s="79">
        <v>6.75</v>
      </c>
      <c r="S68" s="39" t="s">
        <v>147</v>
      </c>
      <c r="T68" s="78">
        <v>0</v>
      </c>
      <c r="U68" s="205"/>
      <c r="V68" s="3"/>
      <c r="W68" s="3"/>
      <c r="X68" s="3"/>
      <c r="Y68" s="3"/>
      <c r="Z68" s="3"/>
      <c r="AA68" s="3"/>
      <c r="AB68" s="3"/>
      <c r="AC68" s="3"/>
      <c r="AD68" s="3"/>
      <c r="AE68" s="3"/>
      <c r="AF68" s="3"/>
      <c r="AG68" s="3"/>
      <c r="AH68" s="3"/>
      <c r="AI68" s="3"/>
    </row>
    <row r="69" spans="1:35" x14ac:dyDescent="0.25">
      <c r="A69" s="205"/>
      <c r="B69" s="921" t="s">
        <v>153</v>
      </c>
      <c r="C69" s="922"/>
      <c r="D69" s="922"/>
      <c r="E69" s="221"/>
      <c r="F69" s="629" t="s">
        <v>160</v>
      </c>
      <c r="G69" s="630"/>
      <c r="H69" s="19">
        <v>-1.5</v>
      </c>
      <c r="I69" s="19">
        <v>-1.5</v>
      </c>
      <c r="J69" s="19">
        <v>-1.5</v>
      </c>
      <c r="K69" s="19">
        <v>-1.5</v>
      </c>
      <c r="L69" s="19">
        <v>-1.5</v>
      </c>
      <c r="M69" s="19">
        <v>-1.75</v>
      </c>
      <c r="N69" s="19" t="s">
        <v>642</v>
      </c>
      <c r="O69" s="20" t="s">
        <v>642</v>
      </c>
      <c r="P69" s="205"/>
      <c r="Q69" s="80" t="s">
        <v>122</v>
      </c>
      <c r="R69" s="81">
        <v>7.4989999999999997</v>
      </c>
      <c r="S69" s="39" t="s">
        <v>150</v>
      </c>
      <c r="T69" s="78">
        <v>-0.5</v>
      </c>
      <c r="U69" s="205"/>
      <c r="V69" s="3"/>
      <c r="W69" s="3"/>
      <c r="X69" s="3"/>
      <c r="Y69" s="3"/>
      <c r="Z69" s="3"/>
      <c r="AA69" s="3"/>
      <c r="AB69" s="3"/>
      <c r="AC69" s="3"/>
      <c r="AD69" s="3"/>
      <c r="AE69" s="3"/>
      <c r="AF69" s="3"/>
      <c r="AG69" s="3"/>
      <c r="AH69" s="3"/>
      <c r="AI69" s="3"/>
    </row>
    <row r="70" spans="1:35" ht="15.75" customHeight="1" x14ac:dyDescent="0.25">
      <c r="A70" s="205"/>
      <c r="B70" s="963" t="s">
        <v>156</v>
      </c>
      <c r="C70" s="964"/>
      <c r="D70" s="964"/>
      <c r="E70" s="223"/>
      <c r="F70" s="629" t="s">
        <v>69</v>
      </c>
      <c r="G70" s="630"/>
      <c r="H70" s="19">
        <v>-0.5</v>
      </c>
      <c r="I70" s="19">
        <v>-0.5</v>
      </c>
      <c r="J70" s="19">
        <v>-0.5</v>
      </c>
      <c r="K70" s="19">
        <v>-0.5</v>
      </c>
      <c r="L70" s="19">
        <v>-0.5</v>
      </c>
      <c r="M70" s="19">
        <v>-0.5</v>
      </c>
      <c r="N70" s="19">
        <v>-0.5</v>
      </c>
      <c r="O70" s="20">
        <v>-0.5</v>
      </c>
      <c r="P70" s="205"/>
      <c r="Q70" s="300"/>
      <c r="R70" s="300"/>
      <c r="S70" s="290" t="s">
        <v>104</v>
      </c>
      <c r="T70" s="290" t="s">
        <v>105</v>
      </c>
      <c r="U70" s="205"/>
      <c r="V70" s="3"/>
      <c r="W70" s="3"/>
      <c r="X70" s="3"/>
      <c r="Y70" s="3"/>
      <c r="Z70" s="3"/>
      <c r="AA70" s="3"/>
      <c r="AB70" s="3"/>
      <c r="AC70" s="3"/>
      <c r="AD70" s="3"/>
      <c r="AE70" s="3"/>
      <c r="AF70" s="3"/>
      <c r="AG70" s="3"/>
      <c r="AH70" s="3"/>
      <c r="AI70" s="3"/>
    </row>
    <row r="71" spans="1:35" x14ac:dyDescent="0.25">
      <c r="A71" s="205"/>
      <c r="B71" s="936" t="s">
        <v>159</v>
      </c>
      <c r="C71" s="937"/>
      <c r="D71" s="937"/>
      <c r="E71" s="224"/>
      <c r="F71" s="928" t="s">
        <v>33</v>
      </c>
      <c r="G71" s="949"/>
      <c r="H71" s="949"/>
      <c r="I71" s="949"/>
      <c r="J71" s="949"/>
      <c r="K71" s="949"/>
      <c r="L71" s="949"/>
      <c r="M71" s="949"/>
      <c r="N71" s="949"/>
      <c r="O71" s="929"/>
      <c r="P71" s="205"/>
      <c r="Q71" s="300"/>
      <c r="R71" s="300"/>
      <c r="S71" s="82" t="s">
        <v>109</v>
      </c>
      <c r="T71" s="83" t="s">
        <v>110</v>
      </c>
      <c r="U71" s="205"/>
      <c r="V71" s="3"/>
      <c r="W71" s="3"/>
      <c r="X71" s="3"/>
      <c r="Y71" s="3"/>
      <c r="Z71" s="3"/>
      <c r="AA71" s="3"/>
      <c r="AB71" s="3"/>
      <c r="AC71" s="3"/>
      <c r="AD71" s="3"/>
      <c r="AE71" s="3"/>
      <c r="AF71" s="3"/>
      <c r="AG71" s="3"/>
      <c r="AH71" s="3"/>
      <c r="AI71" s="3"/>
    </row>
    <row r="72" spans="1:35" ht="17.25" customHeight="1" x14ac:dyDescent="0.25">
      <c r="A72" s="205"/>
      <c r="B72" s="628" t="s">
        <v>162</v>
      </c>
      <c r="C72" s="672"/>
      <c r="D72" s="672"/>
      <c r="E72" s="224"/>
      <c r="F72" s="629" t="s">
        <v>34</v>
      </c>
      <c r="G72" s="630"/>
      <c r="H72" s="19">
        <v>0.25</v>
      </c>
      <c r="I72" s="19">
        <v>0.25</v>
      </c>
      <c r="J72" s="19">
        <v>0.25</v>
      </c>
      <c r="K72" s="19">
        <v>0.25</v>
      </c>
      <c r="L72" s="19">
        <v>0.25</v>
      </c>
      <c r="M72" s="19">
        <v>0.25</v>
      </c>
      <c r="N72" s="19">
        <v>0.25</v>
      </c>
      <c r="O72" s="19">
        <v>0.25</v>
      </c>
      <c r="P72" s="205"/>
      <c r="Q72" s="300"/>
      <c r="R72" s="300"/>
      <c r="S72" s="82" t="s">
        <v>113</v>
      </c>
      <c r="T72" s="83" t="s">
        <v>114</v>
      </c>
      <c r="U72" s="211"/>
      <c r="V72" s="3"/>
      <c r="W72" s="3"/>
      <c r="X72" s="3"/>
      <c r="Y72" s="3"/>
      <c r="Z72" s="3"/>
      <c r="AA72" s="3"/>
      <c r="AB72" s="3"/>
      <c r="AC72" s="3"/>
      <c r="AD72" s="3"/>
      <c r="AE72" s="3"/>
      <c r="AF72" s="3"/>
      <c r="AG72" s="3"/>
      <c r="AH72" s="3"/>
      <c r="AI72" s="3"/>
    </row>
    <row r="73" spans="1:35" x14ac:dyDescent="0.25">
      <c r="A73" s="205"/>
      <c r="B73" s="672"/>
      <c r="C73" s="672"/>
      <c r="D73" s="672"/>
      <c r="E73" s="224"/>
      <c r="F73" s="629" t="s">
        <v>166</v>
      </c>
      <c r="G73" s="630"/>
      <c r="H73" s="19">
        <v>-1.25</v>
      </c>
      <c r="I73" s="19">
        <v>-1.25</v>
      </c>
      <c r="J73" s="19">
        <v>-1.25</v>
      </c>
      <c r="K73" s="19">
        <v>-1.25</v>
      </c>
      <c r="L73" s="19">
        <v>-1.25</v>
      </c>
      <c r="M73" s="19">
        <v>-1.25</v>
      </c>
      <c r="N73" s="19">
        <v>-1.5</v>
      </c>
      <c r="O73" s="20">
        <v>-2</v>
      </c>
      <c r="P73" s="205"/>
      <c r="Q73" s="300"/>
      <c r="R73" s="300"/>
      <c r="S73" s="82" t="s">
        <v>118</v>
      </c>
      <c r="T73" s="83" t="s">
        <v>119</v>
      </c>
      <c r="U73" s="211"/>
      <c r="V73" s="3"/>
      <c r="W73" s="3"/>
      <c r="X73" s="3"/>
      <c r="Y73" s="3"/>
      <c r="Z73" s="3"/>
      <c r="AA73" s="3"/>
      <c r="AB73" s="3"/>
      <c r="AC73" s="3"/>
      <c r="AD73" s="3"/>
      <c r="AE73" s="3"/>
      <c r="AF73" s="3"/>
      <c r="AG73" s="3"/>
      <c r="AH73" s="3"/>
      <c r="AI73" s="3"/>
    </row>
    <row r="74" spans="1:35" x14ac:dyDescent="0.25">
      <c r="A74" s="205"/>
      <c r="B74" s="672"/>
      <c r="C74" s="672"/>
      <c r="D74" s="672"/>
      <c r="E74" s="224"/>
      <c r="F74" s="629" t="s">
        <v>168</v>
      </c>
      <c r="G74" s="630"/>
      <c r="H74" s="19">
        <v>-1.75</v>
      </c>
      <c r="I74" s="19">
        <v>-1.75</v>
      </c>
      <c r="J74" s="19">
        <v>-1.75</v>
      </c>
      <c r="K74" s="19">
        <v>-1.75</v>
      </c>
      <c r="L74" s="19">
        <v>-1.75</v>
      </c>
      <c r="M74" s="19">
        <v>-2</v>
      </c>
      <c r="N74" s="19">
        <v>-2</v>
      </c>
      <c r="O74" s="20" t="s">
        <v>642</v>
      </c>
      <c r="P74" s="205"/>
      <c r="Q74" s="300"/>
      <c r="R74" s="300"/>
      <c r="S74" s="82" t="s">
        <v>123</v>
      </c>
      <c r="T74" s="84" t="s">
        <v>124</v>
      </c>
      <c r="U74" s="211"/>
      <c r="V74" s="3"/>
      <c r="W74" s="3"/>
      <c r="X74" s="3"/>
      <c r="Y74" s="3"/>
      <c r="Z74" s="3"/>
      <c r="AA74" s="3"/>
      <c r="AB74" s="3"/>
      <c r="AC74" s="3"/>
      <c r="AD74" s="3"/>
      <c r="AE74" s="3"/>
      <c r="AF74" s="3"/>
      <c r="AG74" s="3"/>
      <c r="AH74" s="3"/>
      <c r="AI74" s="3"/>
    </row>
    <row r="75" spans="1:35" x14ac:dyDescent="0.25">
      <c r="A75" s="205"/>
      <c r="B75" s="672"/>
      <c r="C75" s="672"/>
      <c r="D75" s="672"/>
      <c r="E75" s="224"/>
      <c r="F75" s="629" t="s">
        <v>169</v>
      </c>
      <c r="G75" s="630"/>
      <c r="H75" s="19">
        <v>-1.5</v>
      </c>
      <c r="I75" s="19">
        <v>-1.75</v>
      </c>
      <c r="J75" s="19">
        <v>-1.75</v>
      </c>
      <c r="K75" s="19">
        <v>-1.75</v>
      </c>
      <c r="L75" s="19">
        <v>-1.75</v>
      </c>
      <c r="M75" s="19">
        <v>-2</v>
      </c>
      <c r="N75" s="19">
        <v>-2</v>
      </c>
      <c r="O75" s="20" t="s">
        <v>642</v>
      </c>
      <c r="P75" s="205"/>
      <c r="Q75" s="300"/>
      <c r="R75" s="300"/>
      <c r="S75" s="82" t="s">
        <v>127</v>
      </c>
      <c r="T75" s="84" t="s">
        <v>128</v>
      </c>
      <c r="U75" s="211"/>
      <c r="W75" s="3"/>
      <c r="X75" s="3"/>
      <c r="Y75" s="3"/>
      <c r="Z75" s="3"/>
      <c r="AA75" s="3"/>
      <c r="AB75" s="3"/>
      <c r="AC75" s="3"/>
      <c r="AD75" s="3"/>
      <c r="AE75" s="3"/>
      <c r="AF75" s="3"/>
      <c r="AG75" s="3"/>
      <c r="AH75" s="3"/>
      <c r="AI75" s="3"/>
    </row>
    <row r="76" spans="1:35" x14ac:dyDescent="0.25">
      <c r="A76" s="205"/>
      <c r="B76" s="965"/>
      <c r="C76" s="965"/>
      <c r="D76" s="965"/>
      <c r="E76" s="224"/>
      <c r="F76" s="629" t="s">
        <v>170</v>
      </c>
      <c r="G76" s="630"/>
      <c r="H76" s="19">
        <v>0</v>
      </c>
      <c r="I76" s="19">
        <v>0</v>
      </c>
      <c r="J76" s="19">
        <v>0</v>
      </c>
      <c r="K76" s="19">
        <v>0</v>
      </c>
      <c r="L76" s="19">
        <v>0</v>
      </c>
      <c r="M76" s="19">
        <v>0</v>
      </c>
      <c r="N76" s="19">
        <v>0</v>
      </c>
      <c r="O76" s="20">
        <v>0</v>
      </c>
      <c r="P76" s="205"/>
      <c r="Q76" s="300"/>
      <c r="R76" s="300"/>
      <c r="S76" s="82" t="s">
        <v>119</v>
      </c>
      <c r="T76" s="85">
        <v>4</v>
      </c>
      <c r="U76" s="211"/>
      <c r="W76" s="3"/>
      <c r="X76" s="3"/>
      <c r="Y76" s="3"/>
      <c r="Z76" s="3"/>
      <c r="AA76" s="3"/>
      <c r="AB76" s="3"/>
      <c r="AC76" s="3"/>
      <c r="AD76" s="3"/>
      <c r="AE76" s="3"/>
      <c r="AF76" s="3"/>
      <c r="AG76" s="3"/>
      <c r="AH76" s="3"/>
      <c r="AI76" s="3"/>
    </row>
    <row r="77" spans="1:35" x14ac:dyDescent="0.25">
      <c r="A77" s="205"/>
      <c r="B77" s="300"/>
      <c r="C77" s="300"/>
      <c r="D77" s="300"/>
      <c r="E77" s="224"/>
      <c r="F77" s="928" t="s">
        <v>36</v>
      </c>
      <c r="G77" s="949"/>
      <c r="H77" s="949"/>
      <c r="I77" s="949"/>
      <c r="J77" s="949"/>
      <c r="K77" s="949"/>
      <c r="L77" s="949"/>
      <c r="M77" s="949"/>
      <c r="N77" s="949"/>
      <c r="O77" s="929"/>
      <c r="P77" s="205"/>
      <c r="Q77" s="300"/>
      <c r="R77" s="300"/>
      <c r="S77" s="331"/>
      <c r="T77" s="332"/>
      <c r="U77" s="211"/>
      <c r="W77" s="3"/>
      <c r="X77" s="3"/>
      <c r="Y77" s="3"/>
      <c r="Z77" s="3"/>
      <c r="AA77" s="3"/>
      <c r="AB77" s="3"/>
      <c r="AC77" s="3"/>
      <c r="AD77" s="3"/>
      <c r="AE77" s="3"/>
      <c r="AF77" s="3"/>
      <c r="AG77" s="3"/>
      <c r="AH77" s="3"/>
      <c r="AI77" s="3"/>
    </row>
    <row r="78" spans="1:35" x14ac:dyDescent="0.25">
      <c r="A78" s="205"/>
      <c r="B78" s="300"/>
      <c r="C78" s="300"/>
      <c r="D78" s="300"/>
      <c r="E78" s="224"/>
      <c r="F78" s="629" t="s">
        <v>171</v>
      </c>
      <c r="G78" s="630"/>
      <c r="H78" s="19">
        <v>-2</v>
      </c>
      <c r="I78" s="19">
        <v>-2</v>
      </c>
      <c r="J78" s="19">
        <v>-2</v>
      </c>
      <c r="K78" s="19">
        <v>-2</v>
      </c>
      <c r="L78" s="19">
        <v>-2</v>
      </c>
      <c r="M78" s="19" t="s">
        <v>642</v>
      </c>
      <c r="N78" s="19" t="s">
        <v>642</v>
      </c>
      <c r="O78" s="20" t="s">
        <v>642</v>
      </c>
      <c r="P78" s="205"/>
      <c r="Q78" s="300"/>
      <c r="R78" s="300"/>
      <c r="S78" s="331"/>
      <c r="T78" s="332"/>
      <c r="U78" s="211"/>
      <c r="W78" s="3"/>
      <c r="X78" s="3"/>
      <c r="Y78" s="3"/>
      <c r="Z78" s="3"/>
      <c r="AA78" s="3"/>
      <c r="AB78" s="3"/>
      <c r="AC78" s="3"/>
      <c r="AD78" s="3"/>
      <c r="AE78" s="3"/>
      <c r="AF78" s="3"/>
      <c r="AG78" s="3"/>
      <c r="AH78" s="3"/>
      <c r="AI78" s="3"/>
    </row>
    <row r="79" spans="1:35" x14ac:dyDescent="0.25">
      <c r="A79" s="205"/>
      <c r="B79" s="300"/>
      <c r="C79" s="300"/>
      <c r="D79" s="300"/>
      <c r="E79" s="224"/>
      <c r="F79" s="629" t="s">
        <v>172</v>
      </c>
      <c r="G79" s="630"/>
      <c r="H79" s="19">
        <v>-1</v>
      </c>
      <c r="I79" s="19">
        <v>-1</v>
      </c>
      <c r="J79" s="19">
        <v>-1</v>
      </c>
      <c r="K79" s="19">
        <v>-1.25</v>
      </c>
      <c r="L79" s="19">
        <v>-1.25</v>
      </c>
      <c r="M79" s="19">
        <v>-1.25</v>
      </c>
      <c r="N79" s="19" t="s">
        <v>642</v>
      </c>
      <c r="O79" s="20" t="s">
        <v>642</v>
      </c>
      <c r="P79" s="205"/>
      <c r="Q79" s="300"/>
      <c r="R79" s="300"/>
      <c r="S79" s="331"/>
      <c r="T79" s="332"/>
      <c r="U79" s="211"/>
      <c r="W79" s="3"/>
      <c r="X79" s="3"/>
      <c r="Y79" s="3"/>
      <c r="Z79" s="3"/>
      <c r="AA79" s="3"/>
      <c r="AB79" s="3"/>
      <c r="AC79" s="3"/>
      <c r="AD79" s="3"/>
      <c r="AE79" s="3"/>
      <c r="AF79" s="3"/>
      <c r="AG79" s="3"/>
      <c r="AH79" s="3"/>
      <c r="AI79" s="3"/>
    </row>
    <row r="80" spans="1:35" ht="15" customHeight="1" x14ac:dyDescent="0.25">
      <c r="A80" s="205"/>
      <c r="B80" s="965"/>
      <c r="C80" s="965"/>
      <c r="D80" s="965"/>
      <c r="E80" s="224"/>
      <c r="F80" s="629" t="s">
        <v>173</v>
      </c>
      <c r="G80" s="630"/>
      <c r="H80" s="19">
        <v>-0.25</v>
      </c>
      <c r="I80" s="19">
        <v>-0.25</v>
      </c>
      <c r="J80" s="19">
        <v>-0.25</v>
      </c>
      <c r="K80" s="19">
        <v>-0.25</v>
      </c>
      <c r="L80" s="19">
        <v>-0.25</v>
      </c>
      <c r="M80" s="19">
        <v>-0.5</v>
      </c>
      <c r="N80" s="19">
        <v>-0.5</v>
      </c>
      <c r="O80" s="20">
        <v>-0.5</v>
      </c>
      <c r="P80" s="205"/>
      <c r="Q80" s="300"/>
      <c r="R80" s="300"/>
      <c r="S80" s="331"/>
      <c r="T80" s="332"/>
      <c r="U80" s="205"/>
    </row>
    <row r="81" spans="1:21" ht="15" customHeight="1" thickBot="1" x14ac:dyDescent="0.3">
      <c r="A81" s="205"/>
      <c r="B81" s="334"/>
      <c r="C81" s="335"/>
      <c r="D81" s="336"/>
      <c r="E81" s="224"/>
      <c r="F81" s="629" t="s">
        <v>174</v>
      </c>
      <c r="G81" s="630"/>
      <c r="H81" s="86">
        <v>0</v>
      </c>
      <c r="I81" s="86">
        <v>0</v>
      </c>
      <c r="J81" s="86">
        <v>0</v>
      </c>
      <c r="K81" s="86">
        <v>0</v>
      </c>
      <c r="L81" s="86">
        <v>0</v>
      </c>
      <c r="M81" s="86">
        <v>0</v>
      </c>
      <c r="N81" s="86">
        <v>0</v>
      </c>
      <c r="O81" s="87">
        <v>0</v>
      </c>
      <c r="P81" s="205"/>
      <c r="Q81" s="329"/>
      <c r="R81" s="330"/>
      <c r="S81" s="330"/>
      <c r="T81" s="333"/>
      <c r="U81" s="205"/>
    </row>
    <row r="82" spans="1:21" customFormat="1" ht="15" customHeight="1" x14ac:dyDescent="0.25"/>
    <row r="83" spans="1:21" ht="15" customHeight="1" x14ac:dyDescent="0.25">
      <c r="B83" s="88"/>
      <c r="C83" s="88"/>
      <c r="D83" s="46"/>
      <c r="E83" s="46"/>
      <c r="F83" s="89"/>
      <c r="G83" s="89"/>
      <c r="H83" s="90"/>
      <c r="I83" s="90"/>
      <c r="J83" s="90"/>
      <c r="K83" s="90"/>
      <c r="L83" s="90"/>
      <c r="M83" s="90"/>
      <c r="N83" s="90"/>
      <c r="O83" s="90"/>
      <c r="Q83" s="3"/>
      <c r="R83" s="3"/>
      <c r="S83" s="3"/>
      <c r="T83" s="3"/>
    </row>
    <row r="84" spans="1:21" ht="15" customHeight="1" x14ac:dyDescent="0.25">
      <c r="B84" s="88"/>
      <c r="C84" s="88"/>
      <c r="D84" s="46"/>
      <c r="E84" s="46"/>
      <c r="F84" s="47"/>
      <c r="G84" s="47"/>
      <c r="H84" s="47"/>
      <c r="I84" s="47"/>
      <c r="J84" s="47"/>
      <c r="K84" s="47"/>
      <c r="L84" s="47"/>
      <c r="M84" s="47"/>
      <c r="N84" s="47"/>
      <c r="O84" s="47"/>
      <c r="Q84" s="3"/>
      <c r="R84" s="3"/>
    </row>
    <row r="85" spans="1:21" ht="15" customHeight="1" x14ac:dyDescent="0.25">
      <c r="B85" s="88"/>
      <c r="C85" s="88"/>
      <c r="D85" s="46"/>
      <c r="E85" s="46"/>
      <c r="F85" s="89"/>
      <c r="G85" s="89"/>
      <c r="H85" s="91"/>
      <c r="I85" s="91"/>
      <c r="J85" s="91"/>
      <c r="K85" s="91"/>
      <c r="L85" s="91"/>
      <c r="M85" s="91"/>
      <c r="N85" s="91"/>
      <c r="O85" s="91"/>
      <c r="Q85" s="3"/>
      <c r="R85" s="3"/>
    </row>
    <row r="86" spans="1:21" ht="15" customHeight="1" x14ac:dyDescent="0.25">
      <c r="B86" s="55"/>
      <c r="C86" s="55"/>
      <c r="D86" s="56"/>
      <c r="E86" s="56"/>
      <c r="F86" s="89"/>
      <c r="G86" s="89"/>
      <c r="H86" s="91"/>
      <c r="I86" s="91"/>
      <c r="J86" s="91"/>
      <c r="K86" s="91"/>
      <c r="L86" s="91"/>
      <c r="M86" s="91"/>
      <c r="N86" s="91"/>
      <c r="O86" s="91"/>
      <c r="Q86" s="3"/>
      <c r="R86" s="3"/>
    </row>
    <row r="87" spans="1:21" ht="15" customHeight="1" x14ac:dyDescent="0.25">
      <c r="B87" s="671"/>
      <c r="C87" s="671"/>
      <c r="D87" s="56"/>
      <c r="E87" s="56"/>
      <c r="F87" s="89"/>
      <c r="G87" s="89"/>
      <c r="H87" s="91"/>
      <c r="I87" s="91"/>
      <c r="J87" s="91"/>
      <c r="K87" s="91"/>
      <c r="L87" s="91"/>
      <c r="M87" s="91"/>
      <c r="N87" s="91"/>
      <c r="O87" s="91"/>
      <c r="Q87" s="3"/>
      <c r="R87" s="3"/>
    </row>
    <row r="88" spans="1:21" ht="15" customHeight="1" x14ac:dyDescent="0.25">
      <c r="B88" s="671"/>
      <c r="C88" s="671"/>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142" priority="11" operator="containsText" text="n/a">
      <formula>NOT(ISERROR(SEARCH("n/a",B51)))</formula>
    </cfRule>
  </conditionalFormatting>
  <conditionalFormatting sqref="B55 D55">
    <cfRule type="containsText" dxfId="141" priority="18" operator="containsText" text="n/a">
      <formula>NOT(ISERROR(SEARCH("n/a",B55)))</formula>
    </cfRule>
  </conditionalFormatting>
  <conditionalFormatting sqref="B58">
    <cfRule type="containsText" dxfId="140" priority="19" operator="containsText" text="n/a">
      <formula>NOT(ISERROR(SEARCH("n/a",B58)))</formula>
    </cfRule>
  </conditionalFormatting>
  <conditionalFormatting sqref="B69">
    <cfRule type="containsText" dxfId="139" priority="13" operator="containsText" text="n/a">
      <formula>NOT(ISERROR(SEARCH("n/a",B69)))</formula>
    </cfRule>
  </conditionalFormatting>
  <conditionalFormatting sqref="B71">
    <cfRule type="containsText" dxfId="138" priority="5" operator="containsText" text="n/a">
      <formula>NOT(ISERROR(SEARCH("n/a",B71)))</formula>
    </cfRule>
  </conditionalFormatting>
  <conditionalFormatting sqref="B53:D53">
    <cfRule type="containsText" dxfId="137" priority="8" operator="containsText" text="n/a">
      <formula>NOT(ISERROR(SEARCH("n/a",B53)))</formula>
    </cfRule>
  </conditionalFormatting>
  <conditionalFormatting sqref="B8:O8 B10:D10">
    <cfRule type="containsText" dxfId="136" priority="41" operator="containsText" text="n/a">
      <formula>NOT(ISERROR(SEARCH("n/a",B8)))</formula>
    </cfRule>
  </conditionalFormatting>
  <conditionalFormatting sqref="C14:C50">
    <cfRule type="containsErrors" dxfId="135" priority="37">
      <formula>ISERROR(C14)</formula>
    </cfRule>
  </conditionalFormatting>
  <conditionalFormatting sqref="C14:C52">
    <cfRule type="containsText" dxfId="134" priority="10" operator="containsText" text="n/a">
      <formula>NOT(ISERROR(SEARCH("n/a",C14)))</formula>
    </cfRule>
  </conditionalFormatting>
  <conditionalFormatting sqref="D21:D50">
    <cfRule type="containsErrors" dxfId="133" priority="36">
      <formula>ISERROR(D21)</formula>
    </cfRule>
  </conditionalFormatting>
  <conditionalFormatting sqref="D21:D52">
    <cfRule type="containsText" dxfId="132" priority="9" operator="containsText" text="n/a">
      <formula>NOT(ISERROR(SEARCH("n/a",D21)))</formula>
    </cfRule>
  </conditionalFormatting>
  <conditionalFormatting sqref="E10:E50">
    <cfRule type="containsErrors" dxfId="131" priority="45">
      <formula>ISERROR(E10)</formula>
    </cfRule>
  </conditionalFormatting>
  <conditionalFormatting sqref="F9:F10">
    <cfRule type="containsText" dxfId="130" priority="42" operator="containsText" text="n/a">
      <formula>NOT(ISERROR(SEARCH("n/a",F9)))</formula>
    </cfRule>
  </conditionalFormatting>
  <conditionalFormatting sqref="F20:F22">
    <cfRule type="containsText" dxfId="129" priority="21" operator="containsText" text="n/a">
      <formula>NOT(ISERROR(SEARCH("n/a",F20)))</formula>
    </cfRule>
  </conditionalFormatting>
  <conditionalFormatting sqref="F29">
    <cfRule type="containsText" dxfId="128" priority="6" operator="containsText" text="n/a">
      <formula>NOT(ISERROR(SEARCH("n/a",F29)))</formula>
    </cfRule>
  </conditionalFormatting>
  <conditionalFormatting sqref="F35">
    <cfRule type="containsText" dxfId="127" priority="29" operator="containsText" text="n/a">
      <formula>NOT(ISERROR(SEARCH("n/a",F35)))</formula>
    </cfRule>
  </conditionalFormatting>
  <conditionalFormatting sqref="F45">
    <cfRule type="containsText" dxfId="126" priority="28" operator="containsText" text="n/a">
      <formula>NOT(ISERROR(SEARCH("n/a",F45)))</formula>
    </cfRule>
  </conditionalFormatting>
  <conditionalFormatting sqref="F51">
    <cfRule type="containsText" dxfId="125" priority="27" operator="containsText" text="n/a">
      <formula>NOT(ISERROR(SEARCH("n/a",F51)))</formula>
    </cfRule>
  </conditionalFormatting>
  <conditionalFormatting sqref="F64">
    <cfRule type="containsText" dxfId="124" priority="26" operator="containsText" text="n/a">
      <formula>NOT(ISERROR(SEARCH("n/a",F64)))</formula>
    </cfRule>
  </conditionalFormatting>
  <conditionalFormatting sqref="F71">
    <cfRule type="containsText" dxfId="123" priority="25" operator="containsText" text="n/a">
      <formula>NOT(ISERROR(SEARCH("n/a",F71)))</formula>
    </cfRule>
  </conditionalFormatting>
  <conditionalFormatting sqref="F77">
    <cfRule type="containsText" dxfId="122" priority="24" operator="containsText" text="n/a">
      <formula>NOT(ISERROR(SEARCH("n/a",F77)))</formula>
    </cfRule>
  </conditionalFormatting>
  <conditionalFormatting sqref="H10:O10">
    <cfRule type="containsText" dxfId="121" priority="40" operator="containsText" text="n/a">
      <formula>NOT(ISERROR(SEARCH("n/a",H10)))</formula>
    </cfRule>
  </conditionalFormatting>
  <conditionalFormatting sqref="H20:O20">
    <cfRule type="containsText" dxfId="120" priority="22" operator="containsText" text="n/a">
      <formula>NOT(ISERROR(SEARCH("n/a",H20)))</formula>
    </cfRule>
  </conditionalFormatting>
  <conditionalFormatting sqref="N11:N16 M11:M18 H11:L19">
    <cfRule type="containsText" dxfId="119" priority="44" operator="containsText" text="n/a">
      <formula>NOT(ISERROR(SEARCH("n/a",H11)))</formula>
    </cfRule>
    <cfRule type="containsErrors" dxfId="118" priority="49">
      <formula>ISERROR(H11)</formula>
    </cfRule>
  </conditionalFormatting>
  <conditionalFormatting sqref="O11:O14">
    <cfRule type="containsText" dxfId="117" priority="38" operator="containsText" text="n/a">
      <formula>NOT(ISERROR(SEARCH("n/a",O11)))</formula>
    </cfRule>
    <cfRule type="containsErrors" dxfId="116" priority="39">
      <formula>ISERROR(O11)</formula>
    </cfRule>
  </conditionalFormatting>
  <conditionalFormatting sqref="Q36:Q39">
    <cfRule type="containsText" dxfId="115" priority="30" operator="containsText" text="Rate">
      <formula>NOT(ISERROR(SEARCH("Rate",Q36)))</formula>
    </cfRule>
    <cfRule type="expression" dxfId="114" priority="31">
      <formula>Output_NetPrice_JM &lt; 99</formula>
    </cfRule>
    <cfRule type="expression" dxfId="113" priority="32">
      <formula>Output_NetPrice_ExpNR &lt; 99</formula>
    </cfRule>
  </conditionalFormatting>
  <conditionalFormatting sqref="Q55">
    <cfRule type="containsText" dxfId="112" priority="23" operator="containsText" text="n/a">
      <formula>NOT(ISERROR(SEARCH("n/a",Q55)))</formula>
    </cfRule>
  </conditionalFormatting>
  <conditionalFormatting sqref="Q65">
    <cfRule type="containsText" dxfId="111" priority="12" operator="containsText" text="n/a">
      <formula>NOT(ISERROR(SEARCH("n/a",Q65)))</formula>
    </cfRule>
  </conditionalFormatting>
  <conditionalFormatting sqref="Q67">
    <cfRule type="containsText" dxfId="110" priority="15" operator="containsText" text="n/a">
      <formula>NOT(ISERROR(SEARCH("n/a",Q67)))</formula>
    </cfRule>
  </conditionalFormatting>
  <conditionalFormatting sqref="Q8:T8">
    <cfRule type="containsText" dxfId="109" priority="43" operator="containsText" text="n/a">
      <formula>NOT(ISERROR(SEARCH("n/a",Q8)))</formula>
    </cfRule>
  </conditionalFormatting>
  <conditionalFormatting sqref="Q51:T54">
    <cfRule type="containsText" dxfId="108" priority="7" operator="containsText" text="n/a">
      <formula>NOT(ISERROR(SEARCH("n/a",Q51)))</formula>
    </cfRule>
  </conditionalFormatting>
  <conditionalFormatting sqref="S55:T55">
    <cfRule type="containsText" dxfId="107" priority="14" operator="containsText" text="n/a">
      <formula>NOT(ISERROR(SEARCH("n/a",S55)))</formula>
    </cfRule>
  </conditionalFormatting>
  <conditionalFormatting sqref="S62:T62">
    <cfRule type="containsText" dxfId="106" priority="4" operator="containsText" text="n/a">
      <formula>NOT(ISERROR(SEARCH("n/a",S62)))</formula>
    </cfRule>
  </conditionalFormatting>
  <conditionalFormatting sqref="S70:T70">
    <cfRule type="containsText" dxfId="105" priority="16" operator="containsText" text="n/a">
      <formula>NOT(ISERROR(SEARCH("n/a",S70)))</formula>
    </cfRule>
  </conditionalFormatting>
  <conditionalFormatting sqref="S72:T72">
    <cfRule type="containsText" dxfId="104" priority="20" operator="containsText" text="n/a">
      <formula>NOT(ISERROR(SEARCH("n/a",S72)))</formula>
    </cfRule>
  </conditionalFormatting>
  <conditionalFormatting sqref="S74:T74">
    <cfRule type="containsText" dxfId="103" priority="17" operator="containsText" text="n/a">
      <formula>NOT(ISERROR(SEARCH("n/a",S74)))</formula>
    </cfRule>
  </conditionalFormatting>
  <conditionalFormatting sqref="T36:T39">
    <cfRule type="containsText" dxfId="102" priority="33" operator="containsText" text="Rate">
      <formula>NOT(ISERROR(SEARCH("Rate",T36)))</formula>
    </cfRule>
    <cfRule type="expression" dxfId="101" priority="34">
      <formula>Output_NetPrice_JM &lt; 99</formula>
    </cfRule>
    <cfRule type="expression" dxfId="100" priority="35">
      <formula>Output_NetPrice_ExpNR &lt; 99</formula>
    </cfRule>
  </conditionalFormatting>
  <conditionalFormatting sqref="S10">
    <cfRule type="containsText" dxfId="99" priority="1" operator="containsText" text="Rate">
      <formula>NOT(ISERROR(SEARCH("Rate",S10)))</formula>
    </cfRule>
    <cfRule type="expression" dxfId="98" priority="2">
      <formula>Output_NetPrice_JM &lt; 99</formula>
    </cfRule>
    <cfRule type="expression" dxfId="97"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38328-FE10-4F50-A2D4-79949366C6FA}">
  <sheetPr codeName="Sheet5">
    <tabColor rgb="FFFC7D20"/>
    <pageSetUpPr fitToPage="1"/>
  </sheetPr>
  <dimension ref="A1:AI105"/>
  <sheetViews>
    <sheetView showGridLines="0" zoomScaleNormal="100" workbookViewId="0">
      <selection activeCell="R83" sqref="R83:S84"/>
    </sheetView>
  </sheetViews>
  <sheetFormatPr defaultColWidth="9.140625" defaultRowHeight="15" x14ac:dyDescent="0.25"/>
  <cols>
    <col min="1" max="1" width="2.85546875" style="1" customWidth="1"/>
    <col min="2" max="2" width="14.85546875" style="1" customWidth="1"/>
    <col min="3" max="3" width="18.7109375" style="1" customWidth="1"/>
    <col min="4"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42578125" style="1" customWidth="1"/>
    <col min="15" max="15" width="12.285156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7" t="s">
        <v>645</v>
      </c>
      <c r="M1" s="667"/>
      <c r="N1" s="667"/>
      <c r="O1" s="667"/>
      <c r="P1" s="61"/>
      <c r="Q1" s="61"/>
      <c r="R1" s="61"/>
      <c r="S1" s="3"/>
      <c r="T1" s="3"/>
      <c r="U1" s="3"/>
    </row>
    <row r="2" spans="1:22" ht="17.45" customHeight="1" x14ac:dyDescent="0.25">
      <c r="B2" s="894" t="s">
        <v>929</v>
      </c>
      <c r="C2" s="895"/>
      <c r="D2" s="895"/>
      <c r="I2" s="62"/>
      <c r="J2" s="62"/>
      <c r="K2" s="62"/>
      <c r="L2" s="668" t="s">
        <v>1</v>
      </c>
      <c r="M2" s="668"/>
      <c r="N2" s="668"/>
      <c r="O2" s="668"/>
      <c r="P2" s="62"/>
      <c r="Q2" s="61"/>
      <c r="R2" s="61"/>
      <c r="S2" s="3"/>
      <c r="T2" s="3"/>
      <c r="U2" s="3"/>
      <c r="V2" s="63"/>
    </row>
    <row r="3" spans="1:22" ht="17.45" customHeight="1" x14ac:dyDescent="0.25">
      <c r="B3" s="508" t="s">
        <v>823</v>
      </c>
      <c r="C3" s="622" t="s">
        <v>895</v>
      </c>
      <c r="D3" s="623"/>
      <c r="I3" s="62"/>
      <c r="J3" s="62"/>
      <c r="K3" s="62"/>
      <c r="L3" s="668" t="s">
        <v>2</v>
      </c>
      <c r="M3" s="668"/>
      <c r="N3" s="668"/>
      <c r="O3" s="668"/>
      <c r="P3" s="62"/>
      <c r="Q3" s="62"/>
      <c r="R3" s="62"/>
      <c r="V3" s="64"/>
    </row>
    <row r="4" spans="1:22" ht="17.45" customHeight="1" x14ac:dyDescent="0.25">
      <c r="B4"/>
      <c r="C4"/>
      <c r="D4"/>
      <c r="H4" s="9"/>
      <c r="I4" s="9"/>
      <c r="J4" s="9"/>
      <c r="K4" s="65"/>
      <c r="L4" s="66"/>
      <c r="M4" s="66"/>
      <c r="N4" s="662"/>
      <c r="O4" s="662"/>
      <c r="R4" s="3"/>
      <c r="S4" s="3"/>
    </row>
    <row r="5" spans="1:22" ht="17.45" customHeight="1" thickBot="1" x14ac:dyDescent="0.3">
      <c r="B5" s="506"/>
      <c r="C5" s="506"/>
      <c r="H5" s="9"/>
      <c r="I5" s="9"/>
      <c r="J5" s="9"/>
      <c r="K5" s="10"/>
      <c r="L5" s="662" t="s">
        <v>3</v>
      </c>
      <c r="M5" s="662"/>
      <c r="N5" s="662">
        <v>46185</v>
      </c>
      <c r="O5" s="662"/>
      <c r="Q5" s="490"/>
      <c r="R5" s="3"/>
      <c r="S5" s="3"/>
    </row>
    <row r="6" spans="1:22" ht="17.45" customHeight="1" x14ac:dyDescent="0.25">
      <c r="A6" s="270"/>
      <c r="B6" s="990" t="s">
        <v>4</v>
      </c>
      <c r="C6" s="991"/>
      <c r="D6" s="992"/>
      <c r="E6" s="422"/>
      <c r="F6" s="991" t="s">
        <v>653</v>
      </c>
      <c r="G6" s="991"/>
      <c r="H6" s="991"/>
      <c r="I6" s="991"/>
      <c r="J6" s="991"/>
      <c r="K6" s="991"/>
      <c r="L6" s="991"/>
      <c r="M6" s="991"/>
      <c r="N6" s="991"/>
      <c r="O6" s="991"/>
      <c r="P6" s="429"/>
      <c r="Q6" s="825" t="s">
        <v>5</v>
      </c>
      <c r="R6" s="825"/>
      <c r="S6" s="825"/>
      <c r="T6" s="826"/>
      <c r="U6" s="270"/>
    </row>
    <row r="7" spans="1:22" ht="17.45" customHeight="1" thickBot="1" x14ac:dyDescent="0.3">
      <c r="A7" s="270"/>
      <c r="B7" s="993"/>
      <c r="C7" s="994"/>
      <c r="D7" s="995"/>
      <c r="E7" s="423"/>
      <c r="F7" s="994"/>
      <c r="G7" s="994"/>
      <c r="H7" s="994"/>
      <c r="I7" s="994"/>
      <c r="J7" s="994"/>
      <c r="K7" s="994"/>
      <c r="L7" s="994"/>
      <c r="M7" s="994"/>
      <c r="N7" s="994"/>
      <c r="O7" s="994"/>
      <c r="P7" s="430"/>
      <c r="Q7" s="831"/>
      <c r="R7" s="831"/>
      <c r="S7" s="831"/>
      <c r="T7" s="832"/>
      <c r="U7" s="270"/>
    </row>
    <row r="8" spans="1:22" ht="15.75" customHeight="1" x14ac:dyDescent="0.25">
      <c r="A8" s="270"/>
      <c r="B8" s="316"/>
      <c r="C8" s="317"/>
      <c r="D8" s="317"/>
      <c r="E8" s="423"/>
      <c r="F8" s="317"/>
      <c r="G8" s="317"/>
      <c r="H8" s="317"/>
      <c r="I8" s="317"/>
      <c r="J8" s="317"/>
      <c r="K8" s="317"/>
      <c r="L8" s="317"/>
      <c r="M8" s="317"/>
      <c r="N8" s="317"/>
      <c r="O8" s="317"/>
      <c r="P8" s="430"/>
      <c r="Q8" s="236"/>
      <c r="R8" s="236"/>
      <c r="S8" s="236"/>
      <c r="T8" s="235"/>
      <c r="U8" s="270"/>
      <c r="V8" s="24"/>
    </row>
    <row r="9" spans="1:22" ht="15.75" customHeight="1" thickBot="1" x14ac:dyDescent="0.3">
      <c r="A9" s="270"/>
      <c r="B9" s="892" t="s">
        <v>6</v>
      </c>
      <c r="C9" s="893"/>
      <c r="D9" s="893"/>
      <c r="E9" s="423"/>
      <c r="F9" s="834" t="s">
        <v>7</v>
      </c>
      <c r="G9" s="834"/>
      <c r="H9" s="834"/>
      <c r="I9" s="834"/>
      <c r="J9" s="834"/>
      <c r="K9" s="834"/>
      <c r="L9" s="834"/>
      <c r="M9" s="834"/>
      <c r="N9" s="834"/>
      <c r="O9" s="834"/>
      <c r="P9" s="430"/>
      <c r="Q9" s="238"/>
      <c r="R9" s="238"/>
      <c r="S9" s="239" t="s">
        <v>8</v>
      </c>
      <c r="T9" s="240"/>
      <c r="U9" s="270"/>
    </row>
    <row r="10" spans="1:22" ht="15" customHeight="1" thickBot="1" x14ac:dyDescent="0.3">
      <c r="A10" s="11"/>
      <c r="B10" s="241" t="s">
        <v>9</v>
      </c>
      <c r="C10" s="245" t="s">
        <v>176</v>
      </c>
      <c r="D10" s="245" t="s">
        <v>177</v>
      </c>
      <c r="E10" s="423"/>
      <c r="F10" s="811" t="s">
        <v>11</v>
      </c>
      <c r="G10" s="811"/>
      <c r="H10" s="245" t="s">
        <v>12</v>
      </c>
      <c r="I10" s="245" t="s">
        <v>13</v>
      </c>
      <c r="J10" s="245" t="s">
        <v>14</v>
      </c>
      <c r="K10" s="245" t="s">
        <v>15</v>
      </c>
      <c r="L10" s="245" t="s">
        <v>16</v>
      </c>
      <c r="M10" s="245" t="s">
        <v>17</v>
      </c>
      <c r="N10" s="245" t="s">
        <v>18</v>
      </c>
      <c r="O10" s="245" t="s">
        <v>19</v>
      </c>
      <c r="P10" s="430"/>
      <c r="Q10" s="996" t="s">
        <v>21</v>
      </c>
      <c r="R10" s="997"/>
      <c r="S10" s="67" t="s">
        <v>31</v>
      </c>
      <c r="T10" s="318"/>
      <c r="U10" s="11"/>
    </row>
    <row r="11" spans="1:22" ht="15" customHeight="1" x14ac:dyDescent="0.25">
      <c r="A11" s="11"/>
      <c r="B11" s="244">
        <v>5.875</v>
      </c>
      <c r="C11" s="443">
        <v>97.138000000000062</v>
      </c>
      <c r="D11" s="417" t="e">
        <v>#N/A</v>
      </c>
      <c r="E11" s="423"/>
      <c r="F11" s="989" t="s">
        <v>22</v>
      </c>
      <c r="G11" s="815">
        <v>0</v>
      </c>
      <c r="H11" s="15">
        <v>1.375</v>
      </c>
      <c r="I11" s="15">
        <v>1.1499999999999999</v>
      </c>
      <c r="J11" s="15">
        <v>1.0249999999999999</v>
      </c>
      <c r="K11" s="15">
        <v>1</v>
      </c>
      <c r="L11" s="15">
        <v>0.75</v>
      </c>
      <c r="M11" s="15">
        <v>0.55000000000000004</v>
      </c>
      <c r="N11" s="15">
        <v>-0.625</v>
      </c>
      <c r="O11" s="424">
        <v>-2.5</v>
      </c>
      <c r="P11" s="430"/>
      <c r="Q11" s="987" t="s">
        <v>23</v>
      </c>
      <c r="R11" s="988"/>
      <c r="S11" s="17" t="s">
        <v>31</v>
      </c>
      <c r="T11" s="318"/>
      <c r="U11" s="11"/>
    </row>
    <row r="12" spans="1:22" ht="15" customHeight="1" x14ac:dyDescent="0.25">
      <c r="A12" s="11"/>
      <c r="B12" s="244">
        <v>5.9989999999999997</v>
      </c>
      <c r="C12" s="433">
        <v>97.888000000000062</v>
      </c>
      <c r="D12" s="417" t="e">
        <v>#N/A</v>
      </c>
      <c r="E12" s="423"/>
      <c r="F12" s="989" t="s">
        <v>24</v>
      </c>
      <c r="G12" s="815">
        <v>0</v>
      </c>
      <c r="H12" s="19">
        <v>1.1499999999999999</v>
      </c>
      <c r="I12" s="19">
        <v>1</v>
      </c>
      <c r="J12" s="15">
        <v>1</v>
      </c>
      <c r="K12" s="19">
        <v>0.85</v>
      </c>
      <c r="L12" s="19">
        <v>0.5</v>
      </c>
      <c r="M12" s="15">
        <v>0.42499999999999999</v>
      </c>
      <c r="N12" s="15">
        <v>-0.875</v>
      </c>
      <c r="O12" s="424">
        <v>-2.75</v>
      </c>
      <c r="P12" s="430"/>
      <c r="Q12" s="987" t="s">
        <v>25</v>
      </c>
      <c r="R12" s="988"/>
      <c r="S12" s="17" t="s">
        <v>31</v>
      </c>
      <c r="T12" s="252" t="b">
        <f>IF(ISNUMBER(MATCH($S$11,'Feed(DSCR)'!$B$3:$B$11,0)),
   INDEX($H$11:$O$19,MATCH($S$12,$F$11:$F$19,0),MATCH($S$11,$H$10:$O$10,0)))</f>
        <v>0</v>
      </c>
      <c r="U12" s="11"/>
    </row>
    <row r="13" spans="1:22" ht="15.75" customHeight="1" x14ac:dyDescent="0.25">
      <c r="A13" s="11"/>
      <c r="B13" s="244">
        <v>6.125</v>
      </c>
      <c r="C13" s="345">
        <v>98.51250000000006</v>
      </c>
      <c r="D13" s="417" t="e">
        <v>#N/A</v>
      </c>
      <c r="E13" s="423"/>
      <c r="F13" s="989" t="s">
        <v>26</v>
      </c>
      <c r="G13" s="815">
        <v>0</v>
      </c>
      <c r="H13" s="19">
        <v>1</v>
      </c>
      <c r="I13" s="19">
        <v>0.875</v>
      </c>
      <c r="J13" s="15">
        <v>0.875</v>
      </c>
      <c r="K13" s="19">
        <v>0.71299999999999997</v>
      </c>
      <c r="L13" s="19">
        <v>0.4</v>
      </c>
      <c r="M13" s="15">
        <v>0.21299999999999999</v>
      </c>
      <c r="N13" s="15">
        <v>-1</v>
      </c>
      <c r="O13" s="424">
        <v>-3</v>
      </c>
      <c r="P13" s="430"/>
      <c r="Q13" s="987" t="s">
        <v>27</v>
      </c>
      <c r="R13" s="988"/>
      <c r="S13" s="17" t="s">
        <v>31</v>
      </c>
      <c r="T13" s="319" t="e">
        <f>IF(OR($S$11="", $S$13=""), "",
   INDEX($H$23:$O$28,
         MATCH($S$13,$F$23:$F$28,0),
         MATCH($S$11,$H$10:$O$10,0)))</f>
        <v>#N/A</v>
      </c>
      <c r="U13" s="11"/>
    </row>
    <row r="14" spans="1:22" ht="15.75" customHeight="1" x14ac:dyDescent="0.25">
      <c r="A14" s="11"/>
      <c r="B14" s="244">
        <v>6.25</v>
      </c>
      <c r="C14" s="19">
        <v>98.95000000000006</v>
      </c>
      <c r="D14" s="417" t="e">
        <v>#N/A</v>
      </c>
      <c r="E14" s="423"/>
      <c r="F14" s="989" t="s">
        <v>29</v>
      </c>
      <c r="G14" s="815">
        <v>0</v>
      </c>
      <c r="H14" s="19">
        <v>0.875</v>
      </c>
      <c r="I14" s="19">
        <v>0.75</v>
      </c>
      <c r="J14" s="15">
        <v>0.75</v>
      </c>
      <c r="K14" s="19">
        <v>0.65</v>
      </c>
      <c r="L14" s="19">
        <v>2.5000000000000001E-2</v>
      </c>
      <c r="M14" s="15">
        <v>-0.1</v>
      </c>
      <c r="N14" s="15">
        <v>-1.875</v>
      </c>
      <c r="O14" s="424">
        <v>-3.5</v>
      </c>
      <c r="P14" s="430"/>
      <c r="Q14" s="987" t="s">
        <v>30</v>
      </c>
      <c r="R14" s="988"/>
      <c r="S14" s="17" t="s">
        <v>31</v>
      </c>
      <c r="T14" s="319">
        <f>'Feed(DSCR)'!$O$180</f>
        <v>0</v>
      </c>
      <c r="U14" s="11"/>
      <c r="V14" s="18"/>
    </row>
    <row r="15" spans="1:22" ht="15" customHeight="1" x14ac:dyDescent="0.25">
      <c r="A15" s="11"/>
      <c r="B15" s="244">
        <v>6.375</v>
      </c>
      <c r="C15" s="19">
        <v>99.325500000000062</v>
      </c>
      <c r="D15" s="417" t="e">
        <v>#N/A</v>
      </c>
      <c r="E15" s="423"/>
      <c r="F15" s="989" t="s">
        <v>32</v>
      </c>
      <c r="G15" s="815">
        <v>0</v>
      </c>
      <c r="H15" s="19">
        <v>0.65</v>
      </c>
      <c r="I15" s="19">
        <v>0.375</v>
      </c>
      <c r="J15" s="15">
        <v>0.125</v>
      </c>
      <c r="K15" s="19">
        <v>2.5000000000000001E-2</v>
      </c>
      <c r="L15" s="19">
        <v>-0.25</v>
      </c>
      <c r="M15" s="15">
        <v>-1</v>
      </c>
      <c r="N15" s="15">
        <v>-2.625</v>
      </c>
      <c r="O15" s="425" t="e">
        <v>#N/A</v>
      </c>
      <c r="P15" s="430"/>
      <c r="Q15" s="987" t="s">
        <v>33</v>
      </c>
      <c r="R15" s="988"/>
      <c r="S15" s="17" t="s">
        <v>34</v>
      </c>
      <c r="T15" s="319" t="e">
        <f>IF(OR($S$11="", $S$15=""), "",
   INDEX($H$71:$O$75,
         MATCH($S$15,$F$71:$F$75,0),
         MATCH($S$11,$H$10:$O$10,0)))</f>
        <v>#N/A</v>
      </c>
      <c r="U15" s="11"/>
      <c r="V15" s="18"/>
    </row>
    <row r="16" spans="1:22" ht="14.25" customHeight="1" x14ac:dyDescent="0.25">
      <c r="A16" s="11"/>
      <c r="B16" s="244">
        <v>6.4989999999999997</v>
      </c>
      <c r="C16" s="19">
        <v>99.825500000000062</v>
      </c>
      <c r="D16" s="417" t="e">
        <v>#N/A</v>
      </c>
      <c r="E16" s="423"/>
      <c r="F16" s="989" t="s">
        <v>35</v>
      </c>
      <c r="G16" s="815">
        <v>0</v>
      </c>
      <c r="H16" s="19">
        <v>0.25</v>
      </c>
      <c r="I16" s="19">
        <v>-0.125</v>
      </c>
      <c r="J16" s="15">
        <v>-0.125</v>
      </c>
      <c r="K16" s="19">
        <v>-0.25</v>
      </c>
      <c r="L16" s="19">
        <v>-0.85</v>
      </c>
      <c r="M16" s="15">
        <v>-1.5</v>
      </c>
      <c r="N16" s="15">
        <v>-3.375</v>
      </c>
      <c r="O16" s="425" t="e">
        <v>#N/A</v>
      </c>
      <c r="P16" s="430"/>
      <c r="Q16" s="987" t="s">
        <v>36</v>
      </c>
      <c r="R16" s="988"/>
      <c r="S16" s="17" t="s">
        <v>37</v>
      </c>
      <c r="T16" s="319">
        <f>IF(OR($S$11="", $S$16="", $S$16="NONE"),0,
   INDEX($H$77:$O$80,
         MATCH($S$16,$F$77:$F$80,0),
         MATCH($S$11,$H$10:$O$10,0)))</f>
        <v>0</v>
      </c>
      <c r="U16" s="11"/>
      <c r="V16" s="18"/>
    </row>
    <row r="17" spans="1:26" ht="15" customHeight="1" x14ac:dyDescent="0.25">
      <c r="A17" s="11"/>
      <c r="B17" s="244">
        <v>6.625</v>
      </c>
      <c r="C17" s="19">
        <v>100.29350000000007</v>
      </c>
      <c r="D17" s="417" t="e">
        <v>#N/A</v>
      </c>
      <c r="E17" s="423"/>
      <c r="F17" s="989" t="s">
        <v>38</v>
      </c>
      <c r="G17" s="815">
        <v>0</v>
      </c>
      <c r="H17" s="19">
        <v>-0.25</v>
      </c>
      <c r="I17" s="19">
        <v>-0.25</v>
      </c>
      <c r="J17" s="15">
        <v>-0.75</v>
      </c>
      <c r="K17" s="19">
        <v>-1.25</v>
      </c>
      <c r="L17" s="19">
        <v>-1.9750000000000001</v>
      </c>
      <c r="M17" s="15">
        <v>-2.6</v>
      </c>
      <c r="N17" s="246" t="e">
        <v>#N/A</v>
      </c>
      <c r="O17" s="425" t="e">
        <v>#N/A</v>
      </c>
      <c r="P17" s="430"/>
      <c r="Q17" s="987" t="s">
        <v>39</v>
      </c>
      <c r="R17" s="988"/>
      <c r="S17" s="17" t="s">
        <v>31</v>
      </c>
      <c r="T17" s="319">
        <v>0</v>
      </c>
      <c r="U17" s="11"/>
      <c r="V17" s="18"/>
    </row>
    <row r="18" spans="1:26" ht="15" customHeight="1" x14ac:dyDescent="0.25">
      <c r="A18" s="11"/>
      <c r="B18" s="244">
        <v>6.75</v>
      </c>
      <c r="C18" s="19">
        <v>100.73150000000005</v>
      </c>
      <c r="D18" s="417" t="e">
        <v>#N/A</v>
      </c>
      <c r="E18" s="423"/>
      <c r="F18" s="989" t="s">
        <v>40</v>
      </c>
      <c r="G18" s="815">
        <v>0</v>
      </c>
      <c r="H18" s="19">
        <v>-0.89999999999999991</v>
      </c>
      <c r="I18" s="19">
        <v>-1.25</v>
      </c>
      <c r="J18" s="15">
        <v>-1.65</v>
      </c>
      <c r="K18" s="19">
        <v>-1.875</v>
      </c>
      <c r="L18" s="19">
        <v>-2.875</v>
      </c>
      <c r="M18" s="15">
        <v>-3.625</v>
      </c>
      <c r="N18" s="246" t="e">
        <v>#N/A</v>
      </c>
      <c r="O18" s="425" t="e">
        <v>#N/A</v>
      </c>
      <c r="P18" s="430"/>
      <c r="Q18" s="987" t="s">
        <v>41</v>
      </c>
      <c r="R18" s="988"/>
      <c r="S18" s="17" t="s">
        <v>31</v>
      </c>
      <c r="T18" s="319" t="e">
        <f>IF(OR($S$11="", $S$18="", $S$18="None in this Dropdown"),0,
   INDEX($H$46:$O$49,
         MATCH($S$18,$F$46:$F$49,0),
         MATCH($S$11,$H$10:$O$10,0)))</f>
        <v>#N/A</v>
      </c>
      <c r="U18" s="11"/>
      <c r="V18" s="18"/>
    </row>
    <row r="19" spans="1:26" ht="15.75" customHeight="1" x14ac:dyDescent="0.25">
      <c r="A19" s="11"/>
      <c r="B19" s="244">
        <v>6.875</v>
      </c>
      <c r="C19" s="19">
        <v>101.15350000000007</v>
      </c>
      <c r="D19" s="417" t="e">
        <v>#N/A</v>
      </c>
      <c r="E19" s="423"/>
      <c r="F19" s="989" t="s">
        <v>42</v>
      </c>
      <c r="G19" s="815">
        <v>0</v>
      </c>
      <c r="H19" s="19">
        <v>-2</v>
      </c>
      <c r="I19" s="19">
        <v>-2.25</v>
      </c>
      <c r="J19" s="15">
        <v>-2.4</v>
      </c>
      <c r="K19" s="19">
        <v>-2.875</v>
      </c>
      <c r="L19" s="19">
        <v>-3.625</v>
      </c>
      <c r="M19" s="246" t="e">
        <v>#N/A</v>
      </c>
      <c r="N19" s="246" t="e">
        <v>#N/A</v>
      </c>
      <c r="O19" s="425" t="e">
        <v>#N/A</v>
      </c>
      <c r="P19" s="430"/>
      <c r="Q19" s="987" t="s">
        <v>592</v>
      </c>
      <c r="R19" s="988"/>
      <c r="S19" s="17" t="s">
        <v>31</v>
      </c>
      <c r="T19" s="319">
        <f>'Feed(DSCR)'!$R$175</f>
        <v>0</v>
      </c>
      <c r="U19" s="11"/>
      <c r="V19" s="18"/>
    </row>
    <row r="20" spans="1:26" ht="15.75" customHeight="1" x14ac:dyDescent="0.25">
      <c r="A20" s="11"/>
      <c r="B20" s="244">
        <v>6.9989999999999997</v>
      </c>
      <c r="C20" s="19">
        <v>101.55950000000006</v>
      </c>
      <c r="D20" s="507">
        <v>96.924999999999997</v>
      </c>
      <c r="E20" s="423"/>
      <c r="F20" s="811"/>
      <c r="G20" s="811"/>
      <c r="H20" s="245"/>
      <c r="I20" s="245"/>
      <c r="J20" s="245"/>
      <c r="K20" s="245"/>
      <c r="L20" s="245"/>
      <c r="M20" s="245"/>
      <c r="N20" s="245"/>
      <c r="O20" s="245"/>
      <c r="P20" s="430"/>
      <c r="Q20" s="987" t="s">
        <v>46</v>
      </c>
      <c r="R20" s="988"/>
      <c r="S20" s="17" t="s">
        <v>31</v>
      </c>
      <c r="T20" s="319" t="e">
        <f>IF(OR($S$11="", $S$20=""), "",
   INDEX($H$36:$O$44,
         MATCH($S$20,$F$36:$F$44,0),
         MATCH($S$11,$H$10:$O$10,0)))</f>
        <v>#N/A</v>
      </c>
      <c r="U20" s="11"/>
      <c r="V20" s="18"/>
      <c r="Z20" s="68"/>
    </row>
    <row r="21" spans="1:26" ht="15.75" customHeight="1" x14ac:dyDescent="0.25">
      <c r="A21" s="11"/>
      <c r="B21" s="244">
        <v>7.125</v>
      </c>
      <c r="C21" s="19">
        <v>101.93450000000006</v>
      </c>
      <c r="D21" s="418">
        <v>97.3</v>
      </c>
      <c r="E21" s="423"/>
      <c r="F21" s="859"/>
      <c r="G21" s="859"/>
      <c r="H21" s="859"/>
      <c r="I21" s="859"/>
      <c r="J21" s="859"/>
      <c r="K21" s="859"/>
      <c r="L21" s="859"/>
      <c r="M21" s="859"/>
      <c r="N21" s="859"/>
      <c r="O21" s="859"/>
      <c r="P21" s="430"/>
      <c r="Q21" s="987" t="s">
        <v>47</v>
      </c>
      <c r="R21" s="988"/>
      <c r="S21" s="17" t="s">
        <v>31</v>
      </c>
      <c r="T21" s="319" t="e">
        <f>IF(OR($S$11="", $S$21=""), "",
   INDEX($H$30:$O$34,
         MATCH($S$21,$F$30:$F$34,0),
         MATCH($S$11,$H$10:$O$10,0)))</f>
        <v>#N/A</v>
      </c>
      <c r="U21" s="11"/>
      <c r="V21" s="18"/>
    </row>
    <row r="22" spans="1:26" ht="14.25" customHeight="1" x14ac:dyDescent="0.25">
      <c r="A22" s="11"/>
      <c r="B22" s="244">
        <v>7.25</v>
      </c>
      <c r="C22" s="19">
        <v>102.30950000000006</v>
      </c>
      <c r="D22" s="418">
        <v>97.8</v>
      </c>
      <c r="E22" s="423"/>
      <c r="F22" s="854" t="s">
        <v>27</v>
      </c>
      <c r="G22" s="980"/>
      <c r="H22" s="980"/>
      <c r="I22" s="980"/>
      <c r="J22" s="980"/>
      <c r="K22" s="980"/>
      <c r="L22" s="980"/>
      <c r="M22" s="980"/>
      <c r="N22" s="980"/>
      <c r="O22" s="855"/>
      <c r="P22" s="430"/>
      <c r="Q22" s="987" t="s">
        <v>178</v>
      </c>
      <c r="R22" s="988"/>
      <c r="S22" s="17" t="s">
        <v>31</v>
      </c>
      <c r="T22" s="319">
        <v>0</v>
      </c>
      <c r="U22" s="669"/>
      <c r="V22" s="18"/>
    </row>
    <row r="23" spans="1:26" ht="15" customHeight="1" x14ac:dyDescent="0.25">
      <c r="A23" s="11"/>
      <c r="B23" s="244">
        <v>7.375</v>
      </c>
      <c r="C23" s="19">
        <v>102.68450000000006</v>
      </c>
      <c r="D23" s="418">
        <v>98.174999999999997</v>
      </c>
      <c r="E23" s="423"/>
      <c r="F23" s="968" t="s">
        <v>179</v>
      </c>
      <c r="G23" s="630"/>
      <c r="H23" s="19">
        <v>0.5</v>
      </c>
      <c r="I23" s="19">
        <v>0.5</v>
      </c>
      <c r="J23" s="19">
        <v>0.5</v>
      </c>
      <c r="K23" s="19">
        <v>0.5</v>
      </c>
      <c r="L23" s="19">
        <v>0.5</v>
      </c>
      <c r="M23" s="19">
        <v>0.5</v>
      </c>
      <c r="N23" s="19" t="e">
        <v>#N/A</v>
      </c>
      <c r="O23" s="418" t="e">
        <v>#N/A</v>
      </c>
      <c r="P23" s="430"/>
      <c r="Q23" s="987" t="s">
        <v>49</v>
      </c>
      <c r="R23" s="988"/>
      <c r="S23" s="17" t="s">
        <v>31</v>
      </c>
      <c r="T23" s="319">
        <v>0</v>
      </c>
      <c r="U23" s="669"/>
      <c r="V23" s="18"/>
      <c r="Z23" s="24"/>
    </row>
    <row r="24" spans="1:26" ht="15.75" customHeight="1" x14ac:dyDescent="0.25">
      <c r="A24" s="11"/>
      <c r="B24" s="244">
        <v>7.4989999999999997</v>
      </c>
      <c r="C24" s="19">
        <v>103.02850000000007</v>
      </c>
      <c r="D24" s="418">
        <v>98.8</v>
      </c>
      <c r="E24" s="423"/>
      <c r="F24" s="968" t="s">
        <v>180</v>
      </c>
      <c r="G24" s="630"/>
      <c r="H24" s="19">
        <v>0.375</v>
      </c>
      <c r="I24" s="19">
        <v>0.375</v>
      </c>
      <c r="J24" s="19">
        <v>0.375</v>
      </c>
      <c r="K24" s="19">
        <v>0.375</v>
      </c>
      <c r="L24" s="19">
        <v>0.375</v>
      </c>
      <c r="M24" s="19">
        <v>0.375</v>
      </c>
      <c r="N24" s="19">
        <v>0.375</v>
      </c>
      <c r="O24" s="418">
        <v>0.375</v>
      </c>
      <c r="P24" s="430"/>
      <c r="Q24" s="987" t="s">
        <v>50</v>
      </c>
      <c r="R24" s="988"/>
      <c r="S24" s="17" t="s">
        <v>31</v>
      </c>
      <c r="T24" s="319">
        <f>'Feed(DSCR)'!$P$175</f>
        <v>0</v>
      </c>
      <c r="U24" s="669"/>
      <c r="V24" s="18"/>
      <c r="Z24" s="24"/>
    </row>
    <row r="25" spans="1:26" ht="15.75" customHeight="1" x14ac:dyDescent="0.25">
      <c r="A25" s="11"/>
      <c r="B25" s="244">
        <v>7.625</v>
      </c>
      <c r="C25" s="19">
        <v>103.34050000000006</v>
      </c>
      <c r="D25" s="418">
        <v>99.3</v>
      </c>
      <c r="E25" s="423"/>
      <c r="F25" s="968" t="s">
        <v>181</v>
      </c>
      <c r="G25" s="630"/>
      <c r="H25" s="19">
        <v>0</v>
      </c>
      <c r="I25" s="19">
        <v>0</v>
      </c>
      <c r="J25" s="19">
        <v>0</v>
      </c>
      <c r="K25" s="19">
        <v>0</v>
      </c>
      <c r="L25" s="19">
        <v>0</v>
      </c>
      <c r="M25" s="19">
        <v>0</v>
      </c>
      <c r="N25" s="19">
        <v>0</v>
      </c>
      <c r="O25" s="418">
        <v>0</v>
      </c>
      <c r="P25" s="430"/>
      <c r="Q25" s="987" t="s">
        <v>52</v>
      </c>
      <c r="R25" s="988"/>
      <c r="S25" s="17" t="s">
        <v>53</v>
      </c>
      <c r="T25" s="319" t="e">
        <f>'Feed(DSCR)'!$O$175</f>
        <v>#N/A</v>
      </c>
      <c r="U25" s="669"/>
      <c r="V25" s="18"/>
    </row>
    <row r="26" spans="1:26" ht="16.5" customHeight="1" x14ac:dyDescent="0.25">
      <c r="A26" s="11"/>
      <c r="B26" s="244">
        <v>7.75</v>
      </c>
      <c r="C26" s="19">
        <v>103.62150000000005</v>
      </c>
      <c r="D26" s="418">
        <v>99.55</v>
      </c>
      <c r="E26" s="423"/>
      <c r="F26" s="968" t="s">
        <v>182</v>
      </c>
      <c r="G26" s="630"/>
      <c r="H26" s="19">
        <v>-2</v>
      </c>
      <c r="I26" s="19">
        <v>-2</v>
      </c>
      <c r="J26" s="19">
        <v>-2</v>
      </c>
      <c r="K26" s="19">
        <v>-2</v>
      </c>
      <c r="L26" s="19">
        <v>-2</v>
      </c>
      <c r="M26" s="19">
        <v>-2</v>
      </c>
      <c r="N26" s="19" t="e">
        <v>#N/A</v>
      </c>
      <c r="O26" s="418" t="e">
        <v>#N/A</v>
      </c>
      <c r="P26" s="430"/>
      <c r="Q26" s="987" t="s">
        <v>55</v>
      </c>
      <c r="R26" s="988"/>
      <c r="S26" s="17" t="s">
        <v>56</v>
      </c>
      <c r="T26" s="319" t="e">
        <f>'Feed(DSCR)'!$Q$180</f>
        <v>#N/A</v>
      </c>
      <c r="U26" s="669"/>
      <c r="V26" s="18"/>
    </row>
    <row r="27" spans="1:26" ht="15.75" customHeight="1" x14ac:dyDescent="0.25">
      <c r="A27" s="11"/>
      <c r="B27" s="244">
        <v>7.875</v>
      </c>
      <c r="C27" s="19">
        <v>103.90350000000007</v>
      </c>
      <c r="D27" s="418">
        <v>99.8</v>
      </c>
      <c r="E27" s="423"/>
      <c r="F27" s="968" t="s">
        <v>183</v>
      </c>
      <c r="G27" s="630"/>
      <c r="H27" s="19">
        <v>-3</v>
      </c>
      <c r="I27" s="19">
        <v>-3</v>
      </c>
      <c r="J27" s="19">
        <v>-3</v>
      </c>
      <c r="K27" s="19">
        <v>-3</v>
      </c>
      <c r="L27" s="19">
        <v>-3</v>
      </c>
      <c r="M27" s="19" t="e">
        <v>#N/A</v>
      </c>
      <c r="N27" s="19" t="e">
        <v>#N/A</v>
      </c>
      <c r="O27" s="418" t="e">
        <v>#N/A</v>
      </c>
      <c r="P27" s="430"/>
      <c r="Q27" s="987" t="s">
        <v>58</v>
      </c>
      <c r="R27" s="988"/>
      <c r="S27" s="17" t="s">
        <v>31</v>
      </c>
      <c r="T27" s="319">
        <f>IF($S$11="", "",
   IF($S$27="Choose a Selection",0,
      INDEX($H$51:$O$62,
           MATCH($S$27,$F$51:$F$62,0),
           MATCH($S$11,$H$10:$O$10,0))))</f>
        <v>0</v>
      </c>
      <c r="U27" s="669"/>
      <c r="V27" s="18"/>
      <c r="W27" s="3"/>
      <c r="X27" s="3"/>
      <c r="Y27" s="3"/>
    </row>
    <row r="28" spans="1:26" ht="15.75" customHeight="1" x14ac:dyDescent="0.25">
      <c r="A28" s="11"/>
      <c r="B28" s="244">
        <v>7.9989999999999997</v>
      </c>
      <c r="C28" s="19">
        <v>104.18450000000006</v>
      </c>
      <c r="D28" s="418">
        <v>100.3</v>
      </c>
      <c r="E28" s="423"/>
      <c r="F28" s="968" t="s">
        <v>184</v>
      </c>
      <c r="G28" s="630"/>
      <c r="H28" s="19">
        <v>-1.75</v>
      </c>
      <c r="I28" s="19">
        <v>-1.75</v>
      </c>
      <c r="J28" s="19">
        <v>-1.75</v>
      </c>
      <c r="K28" s="19">
        <v>-1.75</v>
      </c>
      <c r="L28" s="19">
        <v>-1.75</v>
      </c>
      <c r="M28" s="19">
        <v>-1.75</v>
      </c>
      <c r="N28" s="19">
        <v>-1.75</v>
      </c>
      <c r="O28" s="418" t="e">
        <v>#N/A</v>
      </c>
      <c r="P28" s="430"/>
      <c r="Q28" s="987" t="s">
        <v>60</v>
      </c>
      <c r="R28" s="988"/>
      <c r="S28" s="17"/>
      <c r="T28" s="319">
        <v>0</v>
      </c>
      <c r="U28" s="669"/>
      <c r="V28" s="18"/>
      <c r="W28" s="3"/>
      <c r="X28" s="3"/>
      <c r="Y28" s="3"/>
    </row>
    <row r="29" spans="1:26" ht="14.25" customHeight="1" x14ac:dyDescent="0.25">
      <c r="A29" s="11"/>
      <c r="B29" s="244">
        <v>8.125</v>
      </c>
      <c r="C29" s="19">
        <v>104.46550000000006</v>
      </c>
      <c r="D29" s="418">
        <v>100.55</v>
      </c>
      <c r="E29" s="423"/>
      <c r="F29" s="980" t="s">
        <v>47</v>
      </c>
      <c r="G29" s="980"/>
      <c r="H29" s="980"/>
      <c r="I29" s="980"/>
      <c r="J29" s="980"/>
      <c r="K29" s="980"/>
      <c r="L29" s="980"/>
      <c r="M29" s="980"/>
      <c r="N29" s="980"/>
      <c r="O29" s="980"/>
      <c r="P29" s="430"/>
      <c r="Q29" s="987" t="s">
        <v>62</v>
      </c>
      <c r="R29" s="988"/>
      <c r="S29" s="17" t="s">
        <v>31</v>
      </c>
      <c r="T29" s="319">
        <f>'Feed(DSCR)'!$O$185</f>
        <v>0</v>
      </c>
      <c r="U29" s="669"/>
      <c r="V29" s="18"/>
      <c r="W29" s="25"/>
      <c r="X29" s="25"/>
      <c r="Y29" s="25"/>
    </row>
    <row r="30" spans="1:26" ht="15.75" customHeight="1" x14ac:dyDescent="0.25">
      <c r="A30" s="11"/>
      <c r="B30" s="244">
        <v>8.25</v>
      </c>
      <c r="C30" s="19">
        <v>104.74650000000005</v>
      </c>
      <c r="D30" s="418">
        <v>100.8</v>
      </c>
      <c r="E30" s="423"/>
      <c r="F30" s="630" t="s">
        <v>68</v>
      </c>
      <c r="G30" s="791"/>
      <c r="H30" s="19">
        <v>0</v>
      </c>
      <c r="I30" s="19">
        <v>0</v>
      </c>
      <c r="J30" s="19">
        <v>0</v>
      </c>
      <c r="K30" s="19">
        <v>0</v>
      </c>
      <c r="L30" s="19">
        <v>0</v>
      </c>
      <c r="M30" s="19">
        <v>0</v>
      </c>
      <c r="N30" s="19">
        <v>0</v>
      </c>
      <c r="O30" s="418">
        <v>0</v>
      </c>
      <c r="P30" s="430"/>
      <c r="Q30" s="987" t="s">
        <v>64</v>
      </c>
      <c r="R30" s="988"/>
      <c r="S30" s="26" t="s">
        <v>65</v>
      </c>
      <c r="T30" s="319" t="e">
        <f>'Feed(DSCR)'!$R$180</f>
        <v>#N/A</v>
      </c>
      <c r="U30" s="669"/>
      <c r="V30" s="18"/>
    </row>
    <row r="31" spans="1:26" ht="17.25" customHeight="1" x14ac:dyDescent="0.25">
      <c r="A31" s="11"/>
      <c r="B31" s="244">
        <v>8.375</v>
      </c>
      <c r="C31" s="19">
        <v>105.02850000000007</v>
      </c>
      <c r="D31" s="418">
        <v>101.05</v>
      </c>
      <c r="E31" s="423"/>
      <c r="F31" s="630" t="s">
        <v>70</v>
      </c>
      <c r="G31" s="791"/>
      <c r="H31" s="19">
        <v>0</v>
      </c>
      <c r="I31" s="19">
        <v>0</v>
      </c>
      <c r="J31" s="19">
        <v>0</v>
      </c>
      <c r="K31" s="19">
        <v>0</v>
      </c>
      <c r="L31" s="19">
        <v>0</v>
      </c>
      <c r="M31" s="19">
        <v>0</v>
      </c>
      <c r="N31" s="19">
        <v>0</v>
      </c>
      <c r="O31" s="418">
        <v>0.25</v>
      </c>
      <c r="P31" s="430"/>
      <c r="Q31" s="987" t="s">
        <v>66</v>
      </c>
      <c r="R31" s="988"/>
      <c r="S31" s="26" t="s">
        <v>67</v>
      </c>
      <c r="T31" s="319" cm="1">
        <f t="array" ref="T31">IF(OR(
      AND(OR($S$31='Feed(DSCR)'!$R$4:$R$5), $S$21&lt;&gt;'Feed(DSCR)'!$J$3),
      AND(OR($S$31='Feed(DSCR)'!$R$4:$R$5), $S$25&lt;&gt;'Feed(DSCR)'!$M$4),
      AND(OR($S$31='Feed(DSCR)'!$R$4:$R$5), $S$21&lt;&gt;'Feed(DSCR)'!$L$3:$L$4),
   ),
   NA(),
   0)</f>
        <v>0</v>
      </c>
      <c r="U31" s="669"/>
      <c r="V31" s="18"/>
    </row>
    <row r="32" spans="1:26" ht="15.75" customHeight="1" x14ac:dyDescent="0.25">
      <c r="A32" s="11"/>
      <c r="B32" s="244">
        <v>8.4990000000000006</v>
      </c>
      <c r="C32" s="19">
        <v>105.30950000000006</v>
      </c>
      <c r="D32" s="418">
        <v>101.425</v>
      </c>
      <c r="E32" s="423"/>
      <c r="F32" s="630" t="s">
        <v>72</v>
      </c>
      <c r="G32" s="791"/>
      <c r="H32" s="19">
        <v>-0.125</v>
      </c>
      <c r="I32" s="19">
        <v>-0.25</v>
      </c>
      <c r="J32" s="19">
        <v>-0.375</v>
      </c>
      <c r="K32" s="19">
        <v>-0.5</v>
      </c>
      <c r="L32" s="19">
        <v>-0.5</v>
      </c>
      <c r="M32" s="19">
        <v>-0.5</v>
      </c>
      <c r="N32" s="19">
        <v>-1</v>
      </c>
      <c r="O32" s="418" t="e">
        <v>#N/A</v>
      </c>
      <c r="P32" s="430"/>
      <c r="Q32" s="987" t="s">
        <v>69</v>
      </c>
      <c r="R32" s="988"/>
      <c r="S32" s="26" t="s">
        <v>67</v>
      </c>
      <c r="T32" s="319">
        <v>0</v>
      </c>
      <c r="U32" s="669"/>
      <c r="V32" s="18"/>
    </row>
    <row r="33" spans="1:26" ht="15.75" customHeight="1" x14ac:dyDescent="0.25">
      <c r="A33" s="11"/>
      <c r="B33" s="244">
        <v>8.625</v>
      </c>
      <c r="C33" s="19">
        <v>105.55950000000006</v>
      </c>
      <c r="D33" s="418">
        <v>101.8</v>
      </c>
      <c r="E33" s="423"/>
      <c r="F33" s="630" t="s">
        <v>75</v>
      </c>
      <c r="G33" s="791"/>
      <c r="H33" s="19">
        <v>-0.25</v>
      </c>
      <c r="I33" s="19">
        <v>-0.25</v>
      </c>
      <c r="J33" s="19">
        <v>-0.25</v>
      </c>
      <c r="K33" s="19">
        <v>-0.25</v>
      </c>
      <c r="L33" s="19">
        <v>-0.25</v>
      </c>
      <c r="M33" s="19">
        <v>-0.25</v>
      </c>
      <c r="N33" s="19">
        <v>-0.375</v>
      </c>
      <c r="O33" s="418" t="e">
        <v>#N/A</v>
      </c>
      <c r="P33" s="430"/>
      <c r="Q33" s="987" t="s">
        <v>71</v>
      </c>
      <c r="R33" s="988"/>
      <c r="S33" s="27" t="str">
        <f>IF(ISNA(T33),"Yes",IF(T33=0,"No",""))</f>
        <v>No</v>
      </c>
      <c r="T33" s="319">
        <f>'Feed(DSCR)'!$B$67</f>
        <v>0</v>
      </c>
      <c r="U33" s="669"/>
      <c r="V33" s="18"/>
    </row>
    <row r="34" spans="1:26" ht="17.25" customHeight="1" x14ac:dyDescent="0.25">
      <c r="A34" s="11"/>
      <c r="B34" s="244">
        <v>8.75</v>
      </c>
      <c r="C34" s="19">
        <v>105.80950000000006</v>
      </c>
      <c r="D34" s="418">
        <v>102.05</v>
      </c>
      <c r="E34" s="423"/>
      <c r="F34" s="630" t="s">
        <v>76</v>
      </c>
      <c r="G34" s="791"/>
      <c r="H34" s="19">
        <v>-0.5</v>
      </c>
      <c r="I34" s="19">
        <v>-0.5</v>
      </c>
      <c r="J34" s="19">
        <v>-0.625</v>
      </c>
      <c r="K34" s="19">
        <v>-0.75</v>
      </c>
      <c r="L34" s="19">
        <v>-0.75</v>
      </c>
      <c r="M34" s="19">
        <v>-1</v>
      </c>
      <c r="N34" s="19" t="e">
        <v>#N/A</v>
      </c>
      <c r="O34" s="418" t="e">
        <v>#N/A</v>
      </c>
      <c r="P34" s="430"/>
      <c r="Q34" s="987" t="s">
        <v>769</v>
      </c>
      <c r="R34" s="988"/>
      <c r="S34" s="26" t="s">
        <v>31</v>
      </c>
      <c r="T34" s="319" t="str">
        <f>IF(S34="Tier 1 States",T79,IF(S34="Tier 2 States",T81,IF(S34="Tier 3 States",T83,"0.000")))</f>
        <v>0.000</v>
      </c>
      <c r="U34" s="669"/>
      <c r="V34" s="18"/>
    </row>
    <row r="35" spans="1:26" ht="15.75" customHeight="1" thickBot="1" x14ac:dyDescent="0.3">
      <c r="A35" s="11"/>
      <c r="B35" s="244">
        <v>8.875</v>
      </c>
      <c r="C35" s="19">
        <v>106.05950000000006</v>
      </c>
      <c r="D35" s="418">
        <v>102.425</v>
      </c>
      <c r="E35" s="423"/>
      <c r="F35" s="980" t="s">
        <v>78</v>
      </c>
      <c r="G35" s="980"/>
      <c r="H35" s="980"/>
      <c r="I35" s="980"/>
      <c r="J35" s="980"/>
      <c r="K35" s="980"/>
      <c r="L35" s="980"/>
      <c r="M35" s="980"/>
      <c r="N35" s="980"/>
      <c r="O35" s="980"/>
      <c r="P35" s="430"/>
      <c r="Q35" s="987" t="str">
        <f>IF('Feed(DSCR)'!Z1=0,"",INDEX('Feed(DSCR)'!$AA$1:$AA$3,MATCH('Feed(DSCR)'!Z1,'Feed(DSCR)'!$Z$1:$Z$3,0)))</f>
        <v xml:space="preserve">Special </v>
      </c>
      <c r="R35" s="988"/>
      <c r="S35" s="27" t="str">
        <f>IF(T35=FALSE,'Feed(DSCR)'!Y4,'Feed(DSCR)'!Y5)</f>
        <v>Not Applicable</v>
      </c>
      <c r="T35" s="319" t="b">
        <f>'Feed(DSCR)'!$Z$1</f>
        <v>0</v>
      </c>
      <c r="U35" s="669"/>
      <c r="V35" s="18"/>
    </row>
    <row r="36" spans="1:26" ht="15.75" customHeight="1" thickBot="1" x14ac:dyDescent="0.3">
      <c r="A36" s="11"/>
      <c r="B36" s="244">
        <v>8.9990000000000006</v>
      </c>
      <c r="C36" s="19">
        <v>106.30950000000006</v>
      </c>
      <c r="D36" s="418">
        <v>102.55</v>
      </c>
      <c r="E36" s="423"/>
      <c r="F36" s="630" t="s">
        <v>80</v>
      </c>
      <c r="G36" s="791"/>
      <c r="H36" s="19">
        <v>-0.25</v>
      </c>
      <c r="I36" s="19">
        <v>-0.5</v>
      </c>
      <c r="J36" s="19">
        <v>-0.5</v>
      </c>
      <c r="K36" s="19">
        <v>-0.5</v>
      </c>
      <c r="L36" s="19">
        <v>-0.5</v>
      </c>
      <c r="M36" s="19">
        <v>-0.75</v>
      </c>
      <c r="N36" s="19">
        <v>-0.75</v>
      </c>
      <c r="O36" s="418">
        <v>-1.5</v>
      </c>
      <c r="P36" s="430"/>
      <c r="Q36" s="840" t="s">
        <v>77</v>
      </c>
      <c r="R36" s="840"/>
      <c r="S36" s="841"/>
      <c r="T36" s="476" t="e">
        <f>SUM($T$12:$T$35)</f>
        <v>#N/A</v>
      </c>
      <c r="U36" s="669"/>
      <c r="V36" s="18"/>
    </row>
    <row r="37" spans="1:26" ht="15.75" customHeight="1" thickBot="1" x14ac:dyDescent="0.3">
      <c r="A37" s="11"/>
      <c r="B37" s="244">
        <v>9.125</v>
      </c>
      <c r="C37" s="19">
        <v>106.55950000000006</v>
      </c>
      <c r="D37" s="418">
        <v>102.925</v>
      </c>
      <c r="E37" s="423"/>
      <c r="F37" s="630" t="s">
        <v>82</v>
      </c>
      <c r="G37" s="791"/>
      <c r="H37" s="19">
        <v>0</v>
      </c>
      <c r="I37" s="19">
        <v>0</v>
      </c>
      <c r="J37" s="19">
        <v>0</v>
      </c>
      <c r="K37" s="19">
        <v>0</v>
      </c>
      <c r="L37" s="19">
        <v>0</v>
      </c>
      <c r="M37" s="19">
        <v>0</v>
      </c>
      <c r="N37" s="19">
        <v>0</v>
      </c>
      <c r="O37" s="418">
        <v>-0.25</v>
      </c>
      <c r="P37" s="430"/>
      <c r="Q37" s="840" t="s">
        <v>79</v>
      </c>
      <c r="R37" s="840"/>
      <c r="S37" s="841"/>
      <c r="T37" s="476" t="e">
        <f>IF(
   AND($S$24='Feed(DSCR)'!$K$10, $S$17='Feed(DSCR)'!$D$3),
   INDEX($B$11:$D$50, MATCH($S$10,$B$11:$B$50,0), MATCH($S$24,$B$10:$D$10,0)),
   INDEX($B$11:$D$50, MATCH($S$10,$B$11:$B$50,0), MATCH($S$17,$B$10:$D$10,0))
)</f>
        <v>#N/A</v>
      </c>
      <c r="U37" s="669"/>
      <c r="V37" s="18"/>
      <c r="Z37" s="25"/>
    </row>
    <row r="38" spans="1:26" ht="15.75" customHeight="1" thickBot="1" x14ac:dyDescent="0.3">
      <c r="A38" s="11"/>
      <c r="B38" s="244">
        <v>9.25</v>
      </c>
      <c r="C38" s="19">
        <v>106.68450000000006</v>
      </c>
      <c r="D38" s="418">
        <v>103.175</v>
      </c>
      <c r="E38" s="423"/>
      <c r="F38" s="630" t="s">
        <v>84</v>
      </c>
      <c r="G38" s="791"/>
      <c r="H38" s="19">
        <v>0.25</v>
      </c>
      <c r="I38" s="19">
        <v>0.25</v>
      </c>
      <c r="J38" s="19">
        <v>0.25</v>
      </c>
      <c r="K38" s="19">
        <v>0.25</v>
      </c>
      <c r="L38" s="19">
        <v>0.25</v>
      </c>
      <c r="M38" s="19">
        <v>0.25</v>
      </c>
      <c r="N38" s="19">
        <v>0.25</v>
      </c>
      <c r="O38" s="418">
        <v>0.25</v>
      </c>
      <c r="P38" s="430"/>
      <c r="Q38" s="840" t="s">
        <v>81</v>
      </c>
      <c r="R38" s="840"/>
      <c r="S38" s="841"/>
      <c r="T38" s="476" t="str">
        <f>IFERROR(IF(AND(S19='Feed(DSCR)'!$P$6,S10&lt;R70),"Minimum Rate",IF(AND($S$10&lt;&gt;'Feed(DSCR)'!$K$134,T39=R67),NA(),T37+T36+Q85)),"Minimum Rate")</f>
        <v>Minimum Rate</v>
      </c>
      <c r="U38" s="669"/>
      <c r="V38" s="18"/>
    </row>
    <row r="39" spans="1:26" ht="15.75" customHeight="1" thickBot="1" x14ac:dyDescent="0.3">
      <c r="A39" s="11"/>
      <c r="B39" s="244">
        <v>9.375</v>
      </c>
      <c r="C39" s="19">
        <v>106.80950000000006</v>
      </c>
      <c r="D39" s="418">
        <v>103.55</v>
      </c>
      <c r="E39" s="423"/>
      <c r="F39" s="968" t="s">
        <v>86</v>
      </c>
      <c r="G39" s="630"/>
      <c r="H39" s="19">
        <v>0.375</v>
      </c>
      <c r="I39" s="19">
        <v>0.25</v>
      </c>
      <c r="J39" s="19">
        <v>0.25</v>
      </c>
      <c r="K39" s="19">
        <v>0.25</v>
      </c>
      <c r="L39" s="19">
        <v>0.25</v>
      </c>
      <c r="M39" s="19">
        <v>0</v>
      </c>
      <c r="N39" s="19">
        <v>0</v>
      </c>
      <c r="O39" s="418">
        <v>0</v>
      </c>
      <c r="P39" s="430"/>
      <c r="Q39" s="840" t="s">
        <v>83</v>
      </c>
      <c r="R39" s="840"/>
      <c r="S39" s="841"/>
      <c r="T39" s="476" t="e">
        <f>IF(OR('Feed(DSCR)'!$E$147=0, ISERROR('Feed(DSCR)'!$E$147)), NA(), 'Feed(DSCR)'!$E$147)</f>
        <v>#N/A</v>
      </c>
      <c r="U39" s="669"/>
      <c r="V39" s="18"/>
    </row>
    <row r="40" spans="1:26" ht="14.25" customHeight="1" x14ac:dyDescent="0.25">
      <c r="A40" s="11"/>
      <c r="B40" s="244">
        <v>9.4990000000000006</v>
      </c>
      <c r="C40" s="19">
        <v>106.93450000000006</v>
      </c>
      <c r="D40" s="418">
        <v>103.925</v>
      </c>
      <c r="E40" s="423"/>
      <c r="F40" s="968" t="s">
        <v>87</v>
      </c>
      <c r="G40" s="630"/>
      <c r="H40" s="19">
        <v>0</v>
      </c>
      <c r="I40" s="19">
        <v>0</v>
      </c>
      <c r="J40" s="19">
        <v>0</v>
      </c>
      <c r="K40" s="19">
        <v>0</v>
      </c>
      <c r="L40" s="19">
        <v>0</v>
      </c>
      <c r="M40" s="19">
        <v>0</v>
      </c>
      <c r="N40" s="19">
        <v>0</v>
      </c>
      <c r="O40" s="418">
        <v>0</v>
      </c>
      <c r="P40" s="430"/>
      <c r="Q40" s="775" t="s">
        <v>85</v>
      </c>
      <c r="R40" s="775"/>
      <c r="S40" s="776"/>
      <c r="T40" s="203" t="e">
        <f>IF(OR($T$36="#NA",$T$37="#NA"),NA(),IF(AND($S$10&lt;&gt;'Feed(DSCR)'!$K$134,$T$39=$R$67),NA(),IF($T$38&gt;$T$39,$T$39,$T$38)))</f>
        <v>#N/A</v>
      </c>
      <c r="U40" s="669"/>
      <c r="V40" s="18"/>
    </row>
    <row r="41" spans="1:26" ht="14.25" customHeight="1" x14ac:dyDescent="0.25">
      <c r="A41" s="11"/>
      <c r="B41" s="244">
        <v>9.625</v>
      </c>
      <c r="C41" s="19">
        <v>107.05950000000006</v>
      </c>
      <c r="D41" s="418">
        <v>104.175</v>
      </c>
      <c r="E41" s="423"/>
      <c r="F41" s="968" t="s">
        <v>89</v>
      </c>
      <c r="G41" s="630"/>
      <c r="H41" s="19">
        <v>-0.125</v>
      </c>
      <c r="I41" s="19">
        <v>-0.125</v>
      </c>
      <c r="J41" s="19">
        <v>-0.125</v>
      </c>
      <c r="K41" s="19">
        <v>-0.25</v>
      </c>
      <c r="L41" s="19">
        <v>-0.25</v>
      </c>
      <c r="M41" s="19">
        <v>-0.25</v>
      </c>
      <c r="N41" s="19">
        <v>-0.5</v>
      </c>
      <c r="O41" s="418" t="e">
        <v>#N/A</v>
      </c>
      <c r="P41" s="430"/>
      <c r="Q41" s="801" t="str" cm="1">
        <f t="array" ref="Q41">IF(OR($S$11:$S$25="Choose a Selection"),"",CONCATENATE('Feed(DSCR)'!$I$134," ",'Feed(DSCR)'!$K$134,"%"&amp;" @ "&amp;'Feed(DSCR)'!$L$134))</f>
        <v/>
      </c>
      <c r="R41" s="801"/>
      <c r="S41" s="801"/>
      <c r="T41" s="802"/>
      <c r="U41" s="669"/>
      <c r="V41" s="18"/>
    </row>
    <row r="42" spans="1:26" ht="15.75" customHeight="1" thickBot="1" x14ac:dyDescent="0.3">
      <c r="A42" s="11"/>
      <c r="B42" s="244">
        <v>9.75</v>
      </c>
      <c r="C42" s="19">
        <v>107.18450000000006</v>
      </c>
      <c r="D42" s="418">
        <v>104.425</v>
      </c>
      <c r="E42" s="423"/>
      <c r="F42" s="968" t="s">
        <v>90</v>
      </c>
      <c r="G42" s="630"/>
      <c r="H42" s="19">
        <v>-0.375</v>
      </c>
      <c r="I42" s="19">
        <v>-0.375</v>
      </c>
      <c r="J42" s="19">
        <v>-0.5</v>
      </c>
      <c r="K42" s="19">
        <v>-0.5</v>
      </c>
      <c r="L42" s="19">
        <v>-0.5</v>
      </c>
      <c r="M42" s="19">
        <v>-0.5</v>
      </c>
      <c r="N42" s="19">
        <v>-0.75</v>
      </c>
      <c r="O42" s="418" t="e">
        <v>#N/A</v>
      </c>
      <c r="P42" s="430"/>
      <c r="Q42" s="981" t="s">
        <v>759</v>
      </c>
      <c r="R42" s="982"/>
      <c r="S42" s="982"/>
      <c r="T42" s="982"/>
      <c r="U42" s="669"/>
      <c r="V42" s="18"/>
    </row>
    <row r="43" spans="1:26" ht="14.25" customHeight="1" thickBot="1" x14ac:dyDescent="0.3">
      <c r="A43" s="11"/>
      <c r="B43" s="244">
        <v>9.875</v>
      </c>
      <c r="C43" s="19">
        <v>107.30950000000006</v>
      </c>
      <c r="D43" s="418">
        <v>104.675</v>
      </c>
      <c r="E43" s="423"/>
      <c r="F43" s="968" t="s">
        <v>91</v>
      </c>
      <c r="G43" s="630"/>
      <c r="H43" s="19">
        <v>-1</v>
      </c>
      <c r="I43" s="19">
        <v>-1</v>
      </c>
      <c r="J43" s="19">
        <v>-1</v>
      </c>
      <c r="K43" s="19">
        <v>-1</v>
      </c>
      <c r="L43" s="19">
        <v>-1.25</v>
      </c>
      <c r="M43" s="19">
        <v>-1.5</v>
      </c>
      <c r="N43" s="19" t="e">
        <v>#N/A</v>
      </c>
      <c r="O43" s="418" t="e">
        <v>#N/A</v>
      </c>
      <c r="P43" s="475"/>
      <c r="Q43" s="983" t="s">
        <v>760</v>
      </c>
      <c r="R43" s="984"/>
      <c r="S43" s="985">
        <v>500000</v>
      </c>
      <c r="T43" s="986"/>
      <c r="U43" s="669"/>
      <c r="V43" s="18"/>
    </row>
    <row r="44" spans="1:26" ht="15.75" customHeight="1" thickBot="1" x14ac:dyDescent="0.3">
      <c r="A44" s="11"/>
      <c r="B44" s="244">
        <v>9.9990000000000006</v>
      </c>
      <c r="C44" s="19">
        <v>107.43450000000006</v>
      </c>
      <c r="D44" s="418">
        <v>104.925</v>
      </c>
      <c r="E44" s="423"/>
      <c r="F44" s="968" t="s">
        <v>92</v>
      </c>
      <c r="G44" s="630"/>
      <c r="H44" s="19">
        <v>-2</v>
      </c>
      <c r="I44" s="19">
        <v>-2.25</v>
      </c>
      <c r="J44" s="19">
        <v>-2.5</v>
      </c>
      <c r="K44" s="19">
        <v>-3</v>
      </c>
      <c r="L44" s="19" t="e">
        <v>#N/A</v>
      </c>
      <c r="M44" s="19" t="e">
        <v>#N/A</v>
      </c>
      <c r="N44" s="19" t="e">
        <v>#N/A</v>
      </c>
      <c r="O44" s="418" t="e">
        <v>#N/A</v>
      </c>
      <c r="P44" s="475"/>
      <c r="Q44" s="983" t="s">
        <v>761</v>
      </c>
      <c r="R44" s="984"/>
      <c r="S44" s="476">
        <v>2.25</v>
      </c>
      <c r="T44" s="478">
        <f>S44/100*S43</f>
        <v>11250</v>
      </c>
      <c r="U44" s="669"/>
      <c r="V44" s="18"/>
    </row>
    <row r="45" spans="1:26" ht="14.25" customHeight="1" thickBot="1" x14ac:dyDescent="0.3">
      <c r="A45" s="11"/>
      <c r="B45" s="244">
        <v>10.125</v>
      </c>
      <c r="C45" s="19">
        <v>107.55950000000006</v>
      </c>
      <c r="D45" s="418">
        <v>105.175</v>
      </c>
      <c r="E45" s="423"/>
      <c r="F45" s="980" t="s">
        <v>185</v>
      </c>
      <c r="G45" s="980"/>
      <c r="H45" s="980"/>
      <c r="I45" s="980"/>
      <c r="J45" s="980"/>
      <c r="K45" s="980"/>
      <c r="L45" s="980"/>
      <c r="M45" s="980"/>
      <c r="N45" s="980"/>
      <c r="O45" s="980"/>
      <c r="P45" s="475"/>
      <c r="Q45" s="983" t="s">
        <v>762</v>
      </c>
      <c r="R45" s="984"/>
      <c r="S45" s="477"/>
      <c r="T45" s="479">
        <f>S45/S43*100</f>
        <v>0</v>
      </c>
      <c r="U45" s="669"/>
      <c r="V45" s="18"/>
    </row>
    <row r="46" spans="1:26" ht="14.25" customHeight="1" thickBot="1" x14ac:dyDescent="0.3">
      <c r="A46" s="11"/>
      <c r="B46" s="244">
        <v>10.25</v>
      </c>
      <c r="C46" s="19">
        <v>107.68450000000006</v>
      </c>
      <c r="D46" s="418">
        <v>105.425</v>
      </c>
      <c r="E46" s="423"/>
      <c r="F46" s="630" t="s">
        <v>98</v>
      </c>
      <c r="G46" s="791"/>
      <c r="H46" s="19">
        <v>-1</v>
      </c>
      <c r="I46" s="19">
        <v>-1</v>
      </c>
      <c r="J46" s="19">
        <v>-1</v>
      </c>
      <c r="K46" s="19">
        <v>-1</v>
      </c>
      <c r="L46" s="19">
        <v>-1</v>
      </c>
      <c r="M46" s="19">
        <v>-1.5</v>
      </c>
      <c r="N46" s="19" t="e">
        <v>#N/A</v>
      </c>
      <c r="O46" s="418" t="e">
        <v>#N/A</v>
      </c>
      <c r="P46" s="475"/>
      <c r="Q46" s="983" t="s">
        <v>763</v>
      </c>
      <c r="R46" s="984"/>
      <c r="S46" s="983">
        <f>S44+T45</f>
        <v>2.25</v>
      </c>
      <c r="T46" s="984"/>
      <c r="U46" s="669"/>
      <c r="V46" s="18"/>
    </row>
    <row r="47" spans="1:26" ht="14.25" customHeight="1" thickBot="1" x14ac:dyDescent="0.3">
      <c r="A47" s="11"/>
      <c r="B47" s="244">
        <v>10.375</v>
      </c>
      <c r="C47" s="19">
        <v>107.80950000000006</v>
      </c>
      <c r="D47" s="418">
        <v>105.675</v>
      </c>
      <c r="E47" s="423"/>
      <c r="F47" s="630" t="s">
        <v>186</v>
      </c>
      <c r="G47" s="791"/>
      <c r="H47" s="19">
        <v>-0.5</v>
      </c>
      <c r="I47" s="19">
        <v>-0.5</v>
      </c>
      <c r="J47" s="19">
        <v>-0.5</v>
      </c>
      <c r="K47" s="19">
        <v>-0.5</v>
      </c>
      <c r="L47" s="19">
        <v>-0.5</v>
      </c>
      <c r="M47" s="19">
        <v>-0.625</v>
      </c>
      <c r="N47" s="19">
        <v>-0.75</v>
      </c>
      <c r="O47" s="418" t="e">
        <v>#N/A</v>
      </c>
      <c r="P47" s="430"/>
      <c r="Q47" s="976" t="s">
        <v>764</v>
      </c>
      <c r="R47" s="977"/>
      <c r="S47" s="978" t="e">
        <f>T40-S46</f>
        <v>#N/A</v>
      </c>
      <c r="T47" s="979"/>
      <c r="U47" s="669"/>
      <c r="V47" s="18"/>
    </row>
    <row r="48" spans="1:26" ht="15.75" customHeight="1" x14ac:dyDescent="0.25">
      <c r="A48" s="11"/>
      <c r="B48" s="244">
        <v>10.499000000000001</v>
      </c>
      <c r="C48" s="19">
        <v>107.93450000000006</v>
      </c>
      <c r="D48" s="418">
        <v>105.925</v>
      </c>
      <c r="E48" s="423"/>
      <c r="F48" s="630" t="s">
        <v>99</v>
      </c>
      <c r="G48" s="791"/>
      <c r="H48" s="19">
        <v>0</v>
      </c>
      <c r="I48" s="19">
        <v>0</v>
      </c>
      <c r="J48" s="19">
        <v>0</v>
      </c>
      <c r="K48" s="19">
        <v>0</v>
      </c>
      <c r="L48" s="19">
        <v>0</v>
      </c>
      <c r="M48" s="19">
        <v>0</v>
      </c>
      <c r="N48" s="19">
        <v>0</v>
      </c>
      <c r="O48" s="418" t="e">
        <v>#N/A</v>
      </c>
      <c r="P48" s="430"/>
      <c r="Q48" s="874" t="s">
        <v>775</v>
      </c>
      <c r="R48" s="875"/>
      <c r="S48" s="875"/>
      <c r="T48" s="876"/>
      <c r="U48" s="69"/>
      <c r="V48" s="18"/>
    </row>
    <row r="49" spans="1:22" ht="15.75" customHeight="1" x14ac:dyDescent="0.25">
      <c r="A49" s="11"/>
      <c r="B49" s="244">
        <v>10.625</v>
      </c>
      <c r="C49" s="19">
        <v>108.05950000000006</v>
      </c>
      <c r="D49" s="418">
        <v>106.175</v>
      </c>
      <c r="E49" s="423"/>
      <c r="F49" s="630" t="s">
        <v>100</v>
      </c>
      <c r="G49" s="791"/>
      <c r="H49" s="19">
        <v>-0.25</v>
      </c>
      <c r="I49" s="19">
        <v>-0.25</v>
      </c>
      <c r="J49" s="19">
        <v>-0.25</v>
      </c>
      <c r="K49" s="19">
        <v>-0.25</v>
      </c>
      <c r="L49" s="19">
        <v>-0.25</v>
      </c>
      <c r="M49" s="19">
        <v>-0.25</v>
      </c>
      <c r="N49" s="19">
        <v>-0.25</v>
      </c>
      <c r="O49" s="418" t="e">
        <v>#N/A</v>
      </c>
      <c r="P49" s="430"/>
      <c r="Q49" s="868"/>
      <c r="R49" s="869"/>
      <c r="S49" s="869"/>
      <c r="T49" s="870"/>
      <c r="U49" s="28"/>
      <c r="V49" s="18"/>
    </row>
    <row r="50" spans="1:22" ht="16.5" customHeight="1" thickBot="1" x14ac:dyDescent="0.3">
      <c r="A50" s="11"/>
      <c r="B50" s="244">
        <v>10.75</v>
      </c>
      <c r="C50" s="19">
        <v>108.18450000000006</v>
      </c>
      <c r="D50" s="418">
        <v>106.425</v>
      </c>
      <c r="E50" s="423"/>
      <c r="F50" s="971" t="s">
        <v>58</v>
      </c>
      <c r="G50" s="971"/>
      <c r="H50" s="971"/>
      <c r="I50" s="971"/>
      <c r="J50" s="971"/>
      <c r="K50" s="971"/>
      <c r="L50" s="971"/>
      <c r="M50" s="971"/>
      <c r="N50" s="971"/>
      <c r="O50" s="971"/>
      <c r="P50" s="430"/>
      <c r="Q50" s="868"/>
      <c r="R50" s="869"/>
      <c r="S50" s="869"/>
      <c r="T50" s="870"/>
      <c r="U50" s="11"/>
      <c r="V50" s="18"/>
    </row>
    <row r="51" spans="1:22" ht="13.5" customHeight="1" x14ac:dyDescent="0.25">
      <c r="A51" s="11"/>
      <c r="B51" s="320"/>
      <c r="C51" s="320"/>
      <c r="D51" s="320"/>
      <c r="E51" s="423"/>
      <c r="F51" s="968" t="s">
        <v>102</v>
      </c>
      <c r="G51" s="630"/>
      <c r="H51" s="70">
        <v>-1</v>
      </c>
      <c r="I51" s="70">
        <v>-1</v>
      </c>
      <c r="J51" s="70">
        <v>-1</v>
      </c>
      <c r="K51" s="70">
        <v>-1</v>
      </c>
      <c r="L51" s="70">
        <v>-1</v>
      </c>
      <c r="M51" s="70">
        <v>-1</v>
      </c>
      <c r="N51" s="70">
        <v>-1</v>
      </c>
      <c r="O51" s="426">
        <v>-1</v>
      </c>
      <c r="P51" s="430"/>
      <c r="Q51" s="874" t="s">
        <v>94</v>
      </c>
      <c r="R51" s="875"/>
      <c r="S51" s="875"/>
      <c r="T51" s="876"/>
      <c r="U51" s="11"/>
    </row>
    <row r="52" spans="1:22" ht="15.75" customHeight="1" x14ac:dyDescent="0.25">
      <c r="A52" s="11"/>
      <c r="B52" s="321"/>
      <c r="C52" s="321"/>
      <c r="D52" s="321"/>
      <c r="E52" s="423"/>
      <c r="F52" s="968" t="s">
        <v>107</v>
      </c>
      <c r="G52" s="630"/>
      <c r="H52" s="70">
        <v>-1.75</v>
      </c>
      <c r="I52" s="70">
        <v>-1.75</v>
      </c>
      <c r="J52" s="70">
        <v>-1.75</v>
      </c>
      <c r="K52" s="70">
        <v>-1.75</v>
      </c>
      <c r="L52" s="70">
        <v>-1.75</v>
      </c>
      <c r="M52" s="70">
        <v>-1.75</v>
      </c>
      <c r="N52" s="70">
        <v>-1.75</v>
      </c>
      <c r="O52" s="426">
        <v>-2</v>
      </c>
      <c r="P52" s="430"/>
      <c r="Q52" s="868"/>
      <c r="R52" s="869"/>
      <c r="S52" s="869"/>
      <c r="T52" s="870"/>
      <c r="U52" s="11"/>
    </row>
    <row r="53" spans="1:22" ht="18.75" customHeight="1" x14ac:dyDescent="0.25">
      <c r="A53" s="11"/>
      <c r="B53" s="322"/>
      <c r="C53" s="322"/>
      <c r="D53" s="322"/>
      <c r="E53" s="423"/>
      <c r="F53" s="968" t="s">
        <v>112</v>
      </c>
      <c r="G53" s="630"/>
      <c r="H53" s="70">
        <v>-1</v>
      </c>
      <c r="I53" s="70">
        <v>-1</v>
      </c>
      <c r="J53" s="70">
        <v>-1</v>
      </c>
      <c r="K53" s="70">
        <v>-1</v>
      </c>
      <c r="L53" s="70">
        <v>-1</v>
      </c>
      <c r="M53" s="70">
        <v>-1</v>
      </c>
      <c r="N53" s="70">
        <v>-1</v>
      </c>
      <c r="O53" s="426">
        <v>-1</v>
      </c>
      <c r="P53" s="430"/>
      <c r="Q53" s="322"/>
      <c r="R53" s="322"/>
      <c r="S53" s="322"/>
      <c r="T53" s="322"/>
      <c r="U53" s="11"/>
    </row>
    <row r="54" spans="1:22" ht="15.75" customHeight="1" x14ac:dyDescent="0.25">
      <c r="A54" s="11"/>
      <c r="B54" s="323"/>
      <c r="C54" s="323"/>
      <c r="D54" s="323"/>
      <c r="E54" s="423"/>
      <c r="F54" s="968" t="s">
        <v>116</v>
      </c>
      <c r="G54" s="630"/>
      <c r="H54" s="70">
        <v>-0.25</v>
      </c>
      <c r="I54" s="70">
        <v>-0.25</v>
      </c>
      <c r="J54" s="70">
        <v>-0.25</v>
      </c>
      <c r="K54" s="70">
        <v>-0.25</v>
      </c>
      <c r="L54" s="70">
        <v>-0.25</v>
      </c>
      <c r="M54" s="70">
        <v>-0.75</v>
      </c>
      <c r="N54" s="70">
        <v>-0.75</v>
      </c>
      <c r="O54" s="426">
        <v>-0.75</v>
      </c>
      <c r="P54" s="430"/>
      <c r="Q54" s="322"/>
      <c r="R54" s="322"/>
      <c r="S54" s="322"/>
      <c r="T54" s="322"/>
      <c r="U54" s="11"/>
    </row>
    <row r="55" spans="1:22" ht="15.75" customHeight="1" x14ac:dyDescent="0.25">
      <c r="A55" s="11"/>
      <c r="B55" s="974" t="s">
        <v>64</v>
      </c>
      <c r="C55" s="974"/>
      <c r="D55" s="403" t="s">
        <v>101</v>
      </c>
      <c r="E55" s="423"/>
      <c r="F55" s="968" t="s">
        <v>121</v>
      </c>
      <c r="G55" s="630"/>
      <c r="H55" s="70">
        <v>0.25</v>
      </c>
      <c r="I55" s="70">
        <v>0.125</v>
      </c>
      <c r="J55" s="70">
        <v>0.125</v>
      </c>
      <c r="K55" s="70">
        <v>0.125</v>
      </c>
      <c r="L55" s="70">
        <v>0.125</v>
      </c>
      <c r="M55" s="70">
        <v>0.125</v>
      </c>
      <c r="N55" s="70">
        <v>0.125</v>
      </c>
      <c r="O55" s="426">
        <v>6.25E-2</v>
      </c>
      <c r="P55" s="430"/>
      <c r="Q55" s="975" t="s">
        <v>103</v>
      </c>
      <c r="R55" s="973"/>
      <c r="S55" s="410" t="s">
        <v>62</v>
      </c>
      <c r="T55" s="412" t="s">
        <v>101</v>
      </c>
      <c r="U55" s="11"/>
    </row>
    <row r="56" spans="1:22" ht="15.75" customHeight="1" x14ac:dyDescent="0.25">
      <c r="A56" s="11"/>
      <c r="B56" s="670" t="s">
        <v>106</v>
      </c>
      <c r="C56" s="670"/>
      <c r="D56" s="419">
        <v>-0.25</v>
      </c>
      <c r="E56" s="423"/>
      <c r="F56" s="968" t="s">
        <v>125</v>
      </c>
      <c r="G56" s="630"/>
      <c r="H56" s="70">
        <v>0.375</v>
      </c>
      <c r="I56" s="70">
        <v>0.25</v>
      </c>
      <c r="J56" s="70">
        <v>0.25</v>
      </c>
      <c r="K56" s="70">
        <v>0.25</v>
      </c>
      <c r="L56" s="70">
        <v>0.25</v>
      </c>
      <c r="M56" s="70">
        <v>0.25</v>
      </c>
      <c r="N56" s="70">
        <v>0.25</v>
      </c>
      <c r="O56" s="426">
        <v>0.125</v>
      </c>
      <c r="P56" s="430"/>
      <c r="Q56" s="427" t="s">
        <v>892</v>
      </c>
      <c r="R56" s="42">
        <v>102.5</v>
      </c>
      <c r="S56" s="74" t="s">
        <v>187</v>
      </c>
      <c r="T56" s="75">
        <v>-0.25</v>
      </c>
      <c r="U56" s="11"/>
    </row>
    <row r="57" spans="1:22" ht="15.75" customHeight="1" x14ac:dyDescent="0.25">
      <c r="A57" s="11"/>
      <c r="B57" s="670" t="s">
        <v>111</v>
      </c>
      <c r="C57" s="670"/>
      <c r="D57" s="419">
        <v>-0.5</v>
      </c>
      <c r="E57" s="423"/>
      <c r="F57" s="968" t="s">
        <v>129</v>
      </c>
      <c r="G57" s="630"/>
      <c r="H57" s="70">
        <v>0.75</v>
      </c>
      <c r="I57" s="70">
        <v>0.625</v>
      </c>
      <c r="J57" s="70">
        <v>0.625</v>
      </c>
      <c r="K57" s="70">
        <v>0.625</v>
      </c>
      <c r="L57" s="70">
        <v>0.625</v>
      </c>
      <c r="M57" s="70">
        <v>0.625</v>
      </c>
      <c r="N57" s="70">
        <v>0.625</v>
      </c>
      <c r="O57" s="426">
        <v>0.5</v>
      </c>
      <c r="P57" s="430"/>
      <c r="Q57" s="427" t="s">
        <v>89</v>
      </c>
      <c r="R57" s="76">
        <v>100.75</v>
      </c>
      <c r="S57" s="74" t="s">
        <v>188</v>
      </c>
      <c r="T57" s="75">
        <v>-0.25</v>
      </c>
      <c r="U57" s="11"/>
    </row>
    <row r="58" spans="1:22" ht="18" customHeight="1" x14ac:dyDescent="0.25">
      <c r="A58" s="11"/>
      <c r="B58" s="856" t="s">
        <v>115</v>
      </c>
      <c r="C58" s="857"/>
      <c r="D58" s="857"/>
      <c r="E58" s="423"/>
      <c r="F58" s="968" t="s">
        <v>131</v>
      </c>
      <c r="G58" s="630"/>
      <c r="H58" s="70">
        <v>-0.75</v>
      </c>
      <c r="I58" s="70">
        <v>-0.75</v>
      </c>
      <c r="J58" s="70">
        <v>-0.75</v>
      </c>
      <c r="K58" s="70">
        <v>-0.75</v>
      </c>
      <c r="L58" s="70">
        <v>-0.75</v>
      </c>
      <c r="M58" s="70">
        <v>-0.75</v>
      </c>
      <c r="N58" s="70">
        <v>-0.75</v>
      </c>
      <c r="O58" s="426">
        <v>-0.75</v>
      </c>
      <c r="P58" s="430"/>
      <c r="Q58" s="427" t="s">
        <v>90</v>
      </c>
      <c r="R58" s="76">
        <v>100.5</v>
      </c>
      <c r="S58" s="74" t="s">
        <v>189</v>
      </c>
      <c r="T58" s="75">
        <v>-0.25</v>
      </c>
      <c r="U58" s="11"/>
      <c r="V58" s="3"/>
    </row>
    <row r="59" spans="1:22" ht="15.75" customHeight="1" x14ac:dyDescent="0.25">
      <c r="A59" s="11"/>
      <c r="B59" s="673" t="s">
        <v>190</v>
      </c>
      <c r="C59" s="674"/>
      <c r="D59" s="674"/>
      <c r="E59" s="423"/>
      <c r="F59" s="968" t="s">
        <v>133</v>
      </c>
      <c r="G59" s="630"/>
      <c r="H59" s="70">
        <v>0</v>
      </c>
      <c r="I59" s="70">
        <v>0</v>
      </c>
      <c r="J59" s="70">
        <v>0</v>
      </c>
      <c r="K59" s="70">
        <v>0</v>
      </c>
      <c r="L59" s="70">
        <v>0</v>
      </c>
      <c r="M59" s="70">
        <v>0</v>
      </c>
      <c r="N59" s="70">
        <v>0</v>
      </c>
      <c r="O59" s="426">
        <v>-0.25</v>
      </c>
      <c r="P59" s="430"/>
      <c r="Q59" s="427" t="s">
        <v>117</v>
      </c>
      <c r="R59" s="76">
        <v>101</v>
      </c>
      <c r="S59" s="74" t="s">
        <v>191</v>
      </c>
      <c r="T59" s="75">
        <v>-0.25</v>
      </c>
      <c r="U59" s="11"/>
      <c r="V59" s="3"/>
    </row>
    <row r="60" spans="1:22" ht="18.75" customHeight="1" x14ac:dyDescent="0.25">
      <c r="A60" s="11"/>
      <c r="B60" s="673"/>
      <c r="C60" s="674"/>
      <c r="D60" s="674"/>
      <c r="E60" s="423"/>
      <c r="F60" s="968" t="s">
        <v>136</v>
      </c>
      <c r="G60" s="630"/>
      <c r="H60" s="70">
        <v>0.375</v>
      </c>
      <c r="I60" s="70">
        <v>0.375</v>
      </c>
      <c r="J60" s="70">
        <v>0.375</v>
      </c>
      <c r="K60" s="70">
        <v>0.375</v>
      </c>
      <c r="L60" s="70">
        <v>0.375</v>
      </c>
      <c r="M60" s="70">
        <v>0.375</v>
      </c>
      <c r="N60" s="70">
        <v>0.375</v>
      </c>
      <c r="O60" s="426">
        <v>0.375</v>
      </c>
      <c r="P60" s="430"/>
      <c r="Q60" s="427" t="s">
        <v>122</v>
      </c>
      <c r="R60" s="76">
        <v>100.5</v>
      </c>
      <c r="S60" s="74" t="s">
        <v>192</v>
      </c>
      <c r="T60" s="75">
        <v>-0.25</v>
      </c>
      <c r="U60" s="11"/>
      <c r="V60" s="3"/>
    </row>
    <row r="61" spans="1:22" ht="15.75" customHeight="1" x14ac:dyDescent="0.25">
      <c r="A61" s="11"/>
      <c r="B61" s="673"/>
      <c r="C61" s="674"/>
      <c r="D61" s="674"/>
      <c r="E61" s="423"/>
      <c r="F61" s="968" t="s">
        <v>138</v>
      </c>
      <c r="G61" s="630"/>
      <c r="H61" s="70">
        <v>0.625</v>
      </c>
      <c r="I61" s="70">
        <v>0.42499999999999999</v>
      </c>
      <c r="J61" s="70">
        <v>0.42499999999999999</v>
      </c>
      <c r="K61" s="70">
        <v>0.42499999999999999</v>
      </c>
      <c r="L61" s="70">
        <v>0.42499999999999999</v>
      </c>
      <c r="M61" s="70">
        <v>0.42499999999999999</v>
      </c>
      <c r="N61" s="70">
        <v>0.42499999999999999</v>
      </c>
      <c r="O61" s="426">
        <v>0.42499999999999999</v>
      </c>
      <c r="P61" s="430"/>
      <c r="Q61" s="427" t="s">
        <v>126</v>
      </c>
      <c r="R61" s="76">
        <v>100</v>
      </c>
      <c r="S61" s="74" t="s">
        <v>193</v>
      </c>
      <c r="T61" s="75">
        <v>-0.25</v>
      </c>
      <c r="U61" s="11"/>
      <c r="V61" s="3"/>
    </row>
    <row r="62" spans="1:22" ht="15.75" customHeight="1" x14ac:dyDescent="0.25">
      <c r="A62" s="11"/>
      <c r="B62" s="673"/>
      <c r="C62" s="674"/>
      <c r="D62" s="674"/>
      <c r="E62" s="423"/>
      <c r="F62" s="968" t="s">
        <v>141</v>
      </c>
      <c r="G62" s="630"/>
      <c r="H62" s="70">
        <v>1</v>
      </c>
      <c r="I62" s="70">
        <v>0.75</v>
      </c>
      <c r="J62" s="70">
        <v>0.75</v>
      </c>
      <c r="K62" s="70">
        <v>0.75</v>
      </c>
      <c r="L62" s="70">
        <v>0.75</v>
      </c>
      <c r="M62" s="70">
        <v>0.75</v>
      </c>
      <c r="N62" s="70">
        <v>0.75</v>
      </c>
      <c r="O62" s="426">
        <v>0.75</v>
      </c>
      <c r="P62" s="430"/>
      <c r="Q62" s="427" t="s">
        <v>130</v>
      </c>
      <c r="R62" s="76">
        <v>100</v>
      </c>
      <c r="S62" s="410" t="s">
        <v>104</v>
      </c>
      <c r="T62" s="412" t="s">
        <v>101</v>
      </c>
      <c r="U62" s="11"/>
      <c r="V62" s="3"/>
    </row>
    <row r="63" spans="1:22" ht="15.75" customHeight="1" x14ac:dyDescent="0.25">
      <c r="A63" s="11"/>
      <c r="B63" s="673"/>
      <c r="C63" s="674"/>
      <c r="D63" s="674"/>
      <c r="E63" s="423"/>
      <c r="F63" s="971" t="s">
        <v>143</v>
      </c>
      <c r="G63" s="971"/>
      <c r="H63" s="971"/>
      <c r="I63" s="971"/>
      <c r="J63" s="971"/>
      <c r="K63" s="971"/>
      <c r="L63" s="971"/>
      <c r="M63" s="971"/>
      <c r="N63" s="971"/>
      <c r="O63" s="971"/>
      <c r="P63" s="430"/>
      <c r="Q63" s="427" t="s">
        <v>132</v>
      </c>
      <c r="R63" s="76">
        <v>101.5</v>
      </c>
      <c r="S63" s="39" t="s">
        <v>135</v>
      </c>
      <c r="T63" s="40">
        <v>0.25</v>
      </c>
      <c r="U63" s="11"/>
      <c r="V63" s="3"/>
    </row>
    <row r="64" spans="1:22" ht="15.75" customHeight="1" x14ac:dyDescent="0.25">
      <c r="A64" s="11"/>
      <c r="B64" s="673"/>
      <c r="C64" s="674"/>
      <c r="D64" s="674"/>
      <c r="E64" s="423"/>
      <c r="F64" s="968" t="s">
        <v>145</v>
      </c>
      <c r="G64" s="630"/>
      <c r="H64" s="19">
        <v>-0.375</v>
      </c>
      <c r="I64" s="19">
        <v>-0.375</v>
      </c>
      <c r="J64" s="19">
        <v>-0.375</v>
      </c>
      <c r="K64" s="19">
        <v>-0.375</v>
      </c>
      <c r="L64" s="19">
        <v>-0.5</v>
      </c>
      <c r="M64" s="19">
        <v>-0.5</v>
      </c>
      <c r="N64" s="19">
        <v>-0.5</v>
      </c>
      <c r="O64" s="418" t="e">
        <v>#N/A</v>
      </c>
      <c r="P64" s="430"/>
      <c r="Q64" s="427" t="s">
        <v>891</v>
      </c>
      <c r="R64" s="76">
        <v>102</v>
      </c>
      <c r="S64" s="39" t="s">
        <v>53</v>
      </c>
      <c r="T64" s="40">
        <v>0</v>
      </c>
      <c r="U64" s="11"/>
      <c r="V64" s="3"/>
    </row>
    <row r="65" spans="1:35" ht="15.75" customHeight="1" x14ac:dyDescent="0.25">
      <c r="A65" s="11"/>
      <c r="B65" s="673"/>
      <c r="C65" s="674"/>
      <c r="D65" s="674"/>
      <c r="E65" s="423"/>
      <c r="F65" s="968" t="s">
        <v>196</v>
      </c>
      <c r="G65" s="630"/>
      <c r="H65" s="19">
        <v>-0.5</v>
      </c>
      <c r="I65" s="19">
        <v>-0.5</v>
      </c>
      <c r="J65" s="19">
        <v>-0.5</v>
      </c>
      <c r="K65" s="19">
        <v>-0.5</v>
      </c>
      <c r="L65" s="19">
        <v>-0.75</v>
      </c>
      <c r="M65" s="19">
        <v>-0.75</v>
      </c>
      <c r="N65" s="19">
        <v>-0.75</v>
      </c>
      <c r="O65" s="418" t="e">
        <v>#N/A</v>
      </c>
      <c r="P65" s="430"/>
      <c r="Q65" s="427" t="s">
        <v>194</v>
      </c>
      <c r="R65" s="76">
        <v>100</v>
      </c>
      <c r="S65" s="39" t="s">
        <v>140</v>
      </c>
      <c r="T65" s="40">
        <v>-0.5</v>
      </c>
      <c r="U65" s="11"/>
      <c r="V65" s="3"/>
    </row>
    <row r="66" spans="1:35" ht="15.75" customHeight="1" x14ac:dyDescent="0.25">
      <c r="A66" s="11"/>
      <c r="B66" s="673"/>
      <c r="C66" s="674"/>
      <c r="D66" s="674"/>
      <c r="E66" s="423"/>
      <c r="F66" s="968" t="s">
        <v>151</v>
      </c>
      <c r="G66" s="630"/>
      <c r="H66" s="19">
        <v>0</v>
      </c>
      <c r="I66" s="19">
        <v>0</v>
      </c>
      <c r="J66" s="19">
        <v>0</v>
      </c>
      <c r="K66" s="19">
        <v>0</v>
      </c>
      <c r="L66" s="19">
        <v>0</v>
      </c>
      <c r="M66" s="19">
        <v>0</v>
      </c>
      <c r="N66" s="19">
        <v>0</v>
      </c>
      <c r="O66" s="418">
        <v>-0.25</v>
      </c>
      <c r="P66" s="430"/>
      <c r="Q66" s="427" t="s">
        <v>195</v>
      </c>
      <c r="R66" s="76">
        <v>100</v>
      </c>
      <c r="S66" s="43" t="s">
        <v>142</v>
      </c>
      <c r="T66" s="40">
        <v>0.25</v>
      </c>
      <c r="U66" s="11"/>
      <c r="V66" s="3"/>
    </row>
    <row r="67" spans="1:35" ht="15.75" customHeight="1" x14ac:dyDescent="0.25">
      <c r="A67" s="11"/>
      <c r="B67" s="673"/>
      <c r="C67" s="674"/>
      <c r="D67" s="674"/>
      <c r="E67" s="423"/>
      <c r="F67" s="968" t="s">
        <v>157</v>
      </c>
      <c r="G67" s="630"/>
      <c r="H67" s="19">
        <v>-2</v>
      </c>
      <c r="I67" s="19">
        <v>-2</v>
      </c>
      <c r="J67" s="19">
        <v>-2</v>
      </c>
      <c r="K67" s="19">
        <v>-2</v>
      </c>
      <c r="L67" s="19">
        <v>-2</v>
      </c>
      <c r="M67" s="19">
        <v>-2.5</v>
      </c>
      <c r="N67" s="19" t="e">
        <v>#N/A</v>
      </c>
      <c r="O67" s="418" t="e">
        <v>#N/A</v>
      </c>
      <c r="P67" s="430"/>
      <c r="Q67" s="427"/>
      <c r="R67" s="509">
        <v>0</v>
      </c>
      <c r="S67" s="39" t="s">
        <v>144</v>
      </c>
      <c r="T67" s="40">
        <v>-0.5</v>
      </c>
      <c r="U67" s="11"/>
      <c r="V67" s="3"/>
    </row>
    <row r="68" spans="1:35" ht="17.25" customHeight="1" x14ac:dyDescent="0.25">
      <c r="A68" s="11"/>
      <c r="B68" s="673"/>
      <c r="C68" s="674"/>
      <c r="D68" s="674"/>
      <c r="E68" s="423"/>
      <c r="F68" s="968" t="s">
        <v>204</v>
      </c>
      <c r="G68" s="630"/>
      <c r="H68" s="19">
        <v>-1.5</v>
      </c>
      <c r="I68" s="19">
        <v>-1.5</v>
      </c>
      <c r="J68" s="19">
        <v>-1.5</v>
      </c>
      <c r="K68" s="19">
        <v>-1.5</v>
      </c>
      <c r="L68" s="19">
        <v>-1.5</v>
      </c>
      <c r="M68" s="19">
        <v>-1.75</v>
      </c>
      <c r="N68" s="19" t="e">
        <v>#N/A</v>
      </c>
      <c r="O68" s="418" t="e">
        <v>#N/A</v>
      </c>
      <c r="P68" s="430"/>
      <c r="Q68" s="972" t="s">
        <v>139</v>
      </c>
      <c r="R68" s="973"/>
      <c r="S68" s="39" t="s">
        <v>147</v>
      </c>
      <c r="T68" s="40">
        <v>0.25</v>
      </c>
      <c r="U68" s="11"/>
      <c r="V68" s="3"/>
      <c r="W68" s="3"/>
      <c r="X68" s="3"/>
      <c r="Y68" s="3"/>
      <c r="Z68" s="3"/>
      <c r="AA68" s="3"/>
      <c r="AB68" s="3"/>
      <c r="AC68" s="3"/>
      <c r="AD68" s="3"/>
      <c r="AE68" s="3"/>
      <c r="AF68" s="3"/>
      <c r="AG68" s="3"/>
      <c r="AH68" s="3"/>
      <c r="AI68" s="3"/>
    </row>
    <row r="69" spans="1:35" ht="19.5" customHeight="1" x14ac:dyDescent="0.25">
      <c r="A69" s="11"/>
      <c r="B69" s="888" t="s">
        <v>153</v>
      </c>
      <c r="C69" s="889"/>
      <c r="D69" s="889"/>
      <c r="E69" s="423"/>
      <c r="F69" s="968" t="s">
        <v>69</v>
      </c>
      <c r="G69" s="630"/>
      <c r="H69" s="19">
        <v>-0.5</v>
      </c>
      <c r="I69" s="19">
        <v>-0.5</v>
      </c>
      <c r="J69" s="19">
        <v>-0.5</v>
      </c>
      <c r="K69" s="19">
        <v>-0.5</v>
      </c>
      <c r="L69" s="19">
        <v>-0.5</v>
      </c>
      <c r="M69" s="19">
        <v>-0.5</v>
      </c>
      <c r="N69" s="19">
        <v>-0.5</v>
      </c>
      <c r="O69" s="418">
        <v>-0.5</v>
      </c>
      <c r="P69" s="430"/>
      <c r="Q69" s="428" t="s">
        <v>90</v>
      </c>
      <c r="R69" s="79">
        <v>6.625</v>
      </c>
      <c r="S69" s="39" t="s">
        <v>150</v>
      </c>
      <c r="T69" s="40">
        <v>-0.5</v>
      </c>
      <c r="U69" s="11"/>
      <c r="V69" s="3"/>
      <c r="W69" s="3"/>
      <c r="X69" s="3"/>
      <c r="Y69" s="3"/>
      <c r="Z69" s="3"/>
      <c r="AA69" s="3"/>
      <c r="AB69" s="3"/>
      <c r="AC69" s="3"/>
      <c r="AD69" s="3"/>
      <c r="AE69" s="3"/>
      <c r="AF69" s="3"/>
      <c r="AG69" s="3"/>
      <c r="AH69" s="3"/>
      <c r="AI69" s="3"/>
    </row>
    <row r="70" spans="1:35" ht="15.75" customHeight="1" x14ac:dyDescent="0.25">
      <c r="A70" s="11"/>
      <c r="B70" s="626" t="s">
        <v>156</v>
      </c>
      <c r="C70" s="627"/>
      <c r="D70" s="627"/>
      <c r="E70" s="423"/>
      <c r="F70" s="971" t="s">
        <v>33</v>
      </c>
      <c r="G70" s="971"/>
      <c r="H70" s="971"/>
      <c r="I70" s="971"/>
      <c r="J70" s="971"/>
      <c r="K70" s="971"/>
      <c r="L70" s="971"/>
      <c r="M70" s="971"/>
      <c r="N70" s="971"/>
      <c r="O70" s="971"/>
      <c r="P70" s="430"/>
      <c r="Q70" s="428" t="s">
        <v>122</v>
      </c>
      <c r="R70" s="79">
        <v>7.375</v>
      </c>
      <c r="S70" s="410" t="s">
        <v>104</v>
      </c>
      <c r="T70" s="412" t="s">
        <v>105</v>
      </c>
      <c r="U70" s="11"/>
      <c r="V70" s="3"/>
      <c r="W70" s="3"/>
      <c r="X70" s="3"/>
      <c r="Y70" s="3"/>
      <c r="Z70" s="3"/>
      <c r="AA70" s="3"/>
      <c r="AB70" s="3"/>
      <c r="AC70" s="3"/>
      <c r="AD70" s="3"/>
      <c r="AE70" s="3"/>
      <c r="AF70" s="3"/>
      <c r="AG70" s="3"/>
      <c r="AH70" s="3"/>
      <c r="AI70" s="3"/>
    </row>
    <row r="71" spans="1:35" ht="20.25" customHeight="1" x14ac:dyDescent="0.25">
      <c r="A71" s="11"/>
      <c r="B71" s="856" t="s">
        <v>159</v>
      </c>
      <c r="C71" s="857"/>
      <c r="D71" s="857"/>
      <c r="E71" s="423"/>
      <c r="F71" s="968" t="s">
        <v>34</v>
      </c>
      <c r="G71" s="630"/>
      <c r="H71" s="19">
        <v>0</v>
      </c>
      <c r="I71" s="19">
        <v>0</v>
      </c>
      <c r="J71" s="19">
        <v>0</v>
      </c>
      <c r="K71" s="19">
        <v>0</v>
      </c>
      <c r="L71" s="19">
        <v>0</v>
      </c>
      <c r="M71" s="19">
        <v>0</v>
      </c>
      <c r="N71" s="19">
        <v>0</v>
      </c>
      <c r="O71" s="418">
        <v>0</v>
      </c>
      <c r="P71" s="430"/>
      <c r="Q71" s="253"/>
      <c r="R71" s="253"/>
      <c r="S71" s="33" t="s">
        <v>109</v>
      </c>
      <c r="T71" s="34" t="s">
        <v>110</v>
      </c>
      <c r="U71" s="11"/>
      <c r="V71" s="3"/>
      <c r="W71" s="3"/>
      <c r="X71" s="3"/>
      <c r="Y71" s="3"/>
      <c r="Z71" s="3"/>
      <c r="AA71" s="3"/>
      <c r="AB71" s="3"/>
      <c r="AC71" s="3"/>
      <c r="AD71" s="3"/>
      <c r="AE71" s="3"/>
      <c r="AF71" s="3"/>
      <c r="AG71" s="3"/>
      <c r="AH71" s="3"/>
      <c r="AI71" s="3"/>
    </row>
    <row r="72" spans="1:35" ht="17.25" customHeight="1" x14ac:dyDescent="0.25">
      <c r="A72" s="11"/>
      <c r="B72" s="628" t="s">
        <v>664</v>
      </c>
      <c r="C72" s="672"/>
      <c r="D72" s="672"/>
      <c r="E72" s="423"/>
      <c r="F72" s="968" t="s">
        <v>166</v>
      </c>
      <c r="G72" s="630"/>
      <c r="H72" s="19">
        <v>-1.25</v>
      </c>
      <c r="I72" s="19">
        <v>-1.25</v>
      </c>
      <c r="J72" s="19">
        <v>-1.25</v>
      </c>
      <c r="K72" s="19">
        <v>-1.25</v>
      </c>
      <c r="L72" s="19">
        <v>-1.25</v>
      </c>
      <c r="M72" s="19">
        <v>-1.25</v>
      </c>
      <c r="N72" s="19">
        <v>-1.5</v>
      </c>
      <c r="O72" s="418">
        <v>-2</v>
      </c>
      <c r="P72" s="430"/>
      <c r="Q72" s="253"/>
      <c r="R72" s="253"/>
      <c r="S72" s="33" t="s">
        <v>113</v>
      </c>
      <c r="T72" s="34" t="s">
        <v>114</v>
      </c>
      <c r="U72" s="28"/>
      <c r="V72" s="3"/>
      <c r="W72" s="3"/>
      <c r="X72" s="3"/>
      <c r="Y72" s="3"/>
      <c r="Z72" s="3"/>
      <c r="AA72" s="3"/>
      <c r="AB72" s="3"/>
      <c r="AC72" s="3"/>
      <c r="AD72" s="3"/>
      <c r="AE72" s="3"/>
      <c r="AF72" s="3"/>
      <c r="AG72" s="3"/>
      <c r="AH72" s="3"/>
      <c r="AI72" s="3"/>
    </row>
    <row r="73" spans="1:35" ht="17.25" customHeight="1" x14ac:dyDescent="0.25">
      <c r="A73" s="11"/>
      <c r="B73" s="672"/>
      <c r="C73" s="672"/>
      <c r="D73" s="672"/>
      <c r="E73" s="423"/>
      <c r="F73" s="968" t="s">
        <v>168</v>
      </c>
      <c r="G73" s="630"/>
      <c r="H73" s="19">
        <v>-1.75</v>
      </c>
      <c r="I73" s="19">
        <v>-1.75</v>
      </c>
      <c r="J73" s="19">
        <v>-1.75</v>
      </c>
      <c r="K73" s="19">
        <v>-1.75</v>
      </c>
      <c r="L73" s="19">
        <v>-1.75</v>
      </c>
      <c r="M73" s="19">
        <v>-2</v>
      </c>
      <c r="N73" s="19">
        <v>-2</v>
      </c>
      <c r="O73" s="418" t="e">
        <v>#N/A</v>
      </c>
      <c r="P73" s="430"/>
      <c r="Q73" s="253"/>
      <c r="R73" s="253"/>
      <c r="S73" s="33" t="s">
        <v>118</v>
      </c>
      <c r="T73" s="34" t="s">
        <v>119</v>
      </c>
      <c r="U73" s="28"/>
      <c r="V73" s="3"/>
      <c r="W73" s="3"/>
      <c r="X73" s="3"/>
      <c r="Y73" s="3"/>
      <c r="Z73" s="3"/>
      <c r="AA73" s="3"/>
      <c r="AB73" s="3"/>
      <c r="AC73" s="3"/>
      <c r="AD73" s="3"/>
      <c r="AE73" s="3"/>
      <c r="AF73" s="3"/>
      <c r="AG73" s="3"/>
      <c r="AH73" s="3"/>
      <c r="AI73" s="3"/>
    </row>
    <row r="74" spans="1:35" ht="17.25" customHeight="1" x14ac:dyDescent="0.25">
      <c r="A74" s="11"/>
      <c r="B74" s="672"/>
      <c r="C74" s="672"/>
      <c r="D74" s="672"/>
      <c r="E74" s="423"/>
      <c r="F74" s="968" t="s">
        <v>169</v>
      </c>
      <c r="G74" s="630"/>
      <c r="H74" s="19">
        <v>-1.75</v>
      </c>
      <c r="I74" s="19">
        <v>-1.75</v>
      </c>
      <c r="J74" s="19">
        <v>-1.75</v>
      </c>
      <c r="K74" s="19">
        <v>-1.75</v>
      </c>
      <c r="L74" s="19">
        <v>-1.75</v>
      </c>
      <c r="M74" s="19">
        <v>-2</v>
      </c>
      <c r="N74" s="19">
        <v>-2</v>
      </c>
      <c r="O74" s="418" t="e">
        <v>#N/A</v>
      </c>
      <c r="P74" s="430"/>
      <c r="Q74" s="253"/>
      <c r="R74" s="253"/>
      <c r="S74" s="33" t="s">
        <v>123</v>
      </c>
      <c r="T74" s="36" t="s">
        <v>124</v>
      </c>
      <c r="U74" s="28"/>
      <c r="V74" s="3"/>
      <c r="W74" s="3"/>
      <c r="X74" s="3"/>
      <c r="Y74" s="3"/>
      <c r="Z74" s="3"/>
      <c r="AA74" s="3"/>
      <c r="AB74" s="3"/>
      <c r="AC74" s="3"/>
      <c r="AD74" s="3"/>
      <c r="AE74" s="3"/>
      <c r="AF74" s="3"/>
      <c r="AG74" s="3"/>
      <c r="AH74" s="3"/>
      <c r="AI74" s="3"/>
    </row>
    <row r="75" spans="1:35" ht="14.25" customHeight="1" thickBot="1" x14ac:dyDescent="0.3">
      <c r="A75" s="11"/>
      <c r="B75" s="672"/>
      <c r="C75" s="672"/>
      <c r="D75" s="672"/>
      <c r="E75" s="423"/>
      <c r="F75" s="968" t="s">
        <v>170</v>
      </c>
      <c r="G75" s="630"/>
      <c r="H75" s="19">
        <v>0</v>
      </c>
      <c r="I75" s="19">
        <v>0</v>
      </c>
      <c r="J75" s="19">
        <v>0</v>
      </c>
      <c r="K75" s="19">
        <v>0</v>
      </c>
      <c r="L75" s="19">
        <v>0</v>
      </c>
      <c r="M75" s="19">
        <v>0</v>
      </c>
      <c r="N75" s="19">
        <v>0</v>
      </c>
      <c r="O75" s="418">
        <v>0</v>
      </c>
      <c r="P75" s="430"/>
      <c r="Q75" s="253"/>
      <c r="R75" s="253"/>
      <c r="S75" s="33" t="s">
        <v>127</v>
      </c>
      <c r="T75" s="36" t="s">
        <v>128</v>
      </c>
      <c r="U75" s="28"/>
      <c r="W75" s="3"/>
      <c r="X75" s="3"/>
      <c r="Y75" s="3"/>
      <c r="Z75" s="3"/>
      <c r="AA75" s="3"/>
      <c r="AB75" s="3"/>
      <c r="AC75" s="3"/>
      <c r="AD75" s="3"/>
      <c r="AE75" s="3"/>
      <c r="AF75" s="3"/>
      <c r="AG75" s="3"/>
      <c r="AH75" s="3"/>
      <c r="AI75" s="3"/>
    </row>
    <row r="76" spans="1:35" ht="12.75" customHeight="1" x14ac:dyDescent="0.25">
      <c r="A76" s="11"/>
      <c r="B76" s="969"/>
      <c r="C76" s="970"/>
      <c r="D76" s="970"/>
      <c r="E76" s="423"/>
      <c r="F76" s="971" t="s">
        <v>36</v>
      </c>
      <c r="G76" s="971"/>
      <c r="H76" s="971"/>
      <c r="I76" s="971"/>
      <c r="J76" s="971"/>
      <c r="K76" s="971"/>
      <c r="L76" s="971"/>
      <c r="M76" s="971"/>
      <c r="N76" s="971"/>
      <c r="O76" s="971"/>
      <c r="P76" s="430"/>
      <c r="Q76" s="253"/>
      <c r="R76" s="253"/>
      <c r="S76" s="33" t="s">
        <v>119</v>
      </c>
      <c r="T76" s="37">
        <v>4</v>
      </c>
      <c r="U76" s="28"/>
      <c r="W76" s="3"/>
      <c r="X76" s="3"/>
      <c r="Y76" s="3"/>
      <c r="Z76" s="3"/>
      <c r="AA76" s="3"/>
      <c r="AB76" s="3"/>
      <c r="AC76" s="3"/>
      <c r="AD76" s="3"/>
      <c r="AE76" s="3"/>
      <c r="AF76" s="3"/>
      <c r="AG76" s="3"/>
      <c r="AH76" s="3"/>
      <c r="AI76" s="3"/>
    </row>
    <row r="77" spans="1:35" ht="18" customHeight="1" thickBot="1" x14ac:dyDescent="0.3">
      <c r="A77" s="11"/>
      <c r="B77" s="260"/>
      <c r="C77" s="253"/>
      <c r="D77" s="253"/>
      <c r="E77" s="423"/>
      <c r="F77" s="629" t="s">
        <v>171</v>
      </c>
      <c r="G77" s="630"/>
      <c r="H77" s="19">
        <v>-2</v>
      </c>
      <c r="I77" s="19">
        <v>-2</v>
      </c>
      <c r="J77" s="19">
        <v>-2</v>
      </c>
      <c r="K77" s="19">
        <v>-2</v>
      </c>
      <c r="L77" s="19">
        <v>-2</v>
      </c>
      <c r="M77" s="19">
        <v>-2</v>
      </c>
      <c r="N77" s="19">
        <v>-2</v>
      </c>
      <c r="O77" s="20">
        <v>-2</v>
      </c>
      <c r="P77" s="430"/>
      <c r="Q77" s="253"/>
      <c r="R77" s="253"/>
      <c r="S77" s="413"/>
      <c r="T77" s="414"/>
      <c r="U77" s="28"/>
      <c r="W77" s="3"/>
      <c r="X77" s="3"/>
      <c r="Y77" s="3"/>
      <c r="Z77" s="3"/>
      <c r="AA77" s="3"/>
      <c r="AB77" s="3"/>
      <c r="AC77" s="3"/>
      <c r="AD77" s="3"/>
      <c r="AE77" s="3"/>
      <c r="AF77" s="3"/>
      <c r="AG77" s="3"/>
      <c r="AH77" s="3"/>
      <c r="AI77" s="3"/>
    </row>
    <row r="78" spans="1:35" ht="17.25" customHeight="1" x14ac:dyDescent="0.25">
      <c r="A78" s="11"/>
      <c r="B78" s="260"/>
      <c r="C78" s="253"/>
      <c r="D78" s="253"/>
      <c r="E78" s="423"/>
      <c r="F78" s="629" t="s">
        <v>172</v>
      </c>
      <c r="G78" s="630"/>
      <c r="H78" s="19">
        <v>-1</v>
      </c>
      <c r="I78" s="19">
        <v>-1</v>
      </c>
      <c r="J78" s="19">
        <v>-1</v>
      </c>
      <c r="K78" s="19">
        <v>-1.25</v>
      </c>
      <c r="L78" s="19">
        <v>-1.25</v>
      </c>
      <c r="M78" s="19">
        <v>-1.25</v>
      </c>
      <c r="N78" s="19">
        <v>-1.25</v>
      </c>
      <c r="O78" s="20">
        <v>-1.25</v>
      </c>
      <c r="P78" s="430"/>
      <c r="Q78" s="885" t="s">
        <v>765</v>
      </c>
      <c r="R78" s="886"/>
      <c r="S78" s="886"/>
      <c r="T78" s="887"/>
      <c r="U78" s="28"/>
      <c r="W78" s="3"/>
      <c r="X78" s="3"/>
      <c r="Y78" s="3"/>
      <c r="Z78" s="3"/>
      <c r="AA78" s="3"/>
      <c r="AB78" s="3"/>
      <c r="AC78" s="3"/>
      <c r="AD78" s="3"/>
      <c r="AE78" s="3"/>
      <c r="AF78" s="3"/>
      <c r="AG78" s="3"/>
      <c r="AH78" s="3"/>
      <c r="AI78" s="3"/>
    </row>
    <row r="79" spans="1:35" ht="18.75" customHeight="1" x14ac:dyDescent="0.25">
      <c r="A79" s="11"/>
      <c r="B79" s="260"/>
      <c r="C79" s="253"/>
      <c r="D79" s="253"/>
      <c r="E79" s="423"/>
      <c r="F79" s="629" t="s">
        <v>173</v>
      </c>
      <c r="G79" s="630"/>
      <c r="H79" s="19">
        <v>-0.25</v>
      </c>
      <c r="I79" s="19">
        <v>-0.25</v>
      </c>
      <c r="J79" s="19">
        <v>-0.25</v>
      </c>
      <c r="K79" s="19">
        <v>-0.25</v>
      </c>
      <c r="L79" s="19">
        <v>-0.25</v>
      </c>
      <c r="M79" s="19">
        <v>-0.5</v>
      </c>
      <c r="N79" s="19">
        <v>-0.5</v>
      </c>
      <c r="O79" s="20">
        <v>-0.5</v>
      </c>
      <c r="P79" s="430"/>
      <c r="Q79" s="634" t="str">
        <f>'Feed(DSCR)'!$U$161</f>
        <v>Tier 1 States</v>
      </c>
      <c r="R79" s="633" t="str">
        <f>'Feed(DSCR)'!$V$161</f>
        <v>AZ, CA, CO, CT, GA, HI, MA, MD, NJ, NV, OR, SC, UT, VA, WA</v>
      </c>
      <c r="S79" s="633"/>
      <c r="T79" s="631">
        <f>'Feed(DSCR)'!$W$161</f>
        <v>0</v>
      </c>
      <c r="U79" s="28"/>
      <c r="W79" s="3"/>
      <c r="X79" s="3"/>
      <c r="Y79" s="3"/>
      <c r="Z79" s="3"/>
      <c r="AA79" s="3"/>
      <c r="AB79" s="3"/>
      <c r="AC79" s="3"/>
      <c r="AD79" s="3"/>
      <c r="AE79" s="3"/>
      <c r="AF79" s="3"/>
      <c r="AG79" s="3"/>
      <c r="AH79" s="3"/>
      <c r="AI79" s="3"/>
    </row>
    <row r="80" spans="1:35" ht="15" customHeight="1" thickBot="1" x14ac:dyDescent="0.3">
      <c r="A80" s="11"/>
      <c r="B80" s="966"/>
      <c r="C80" s="967"/>
      <c r="D80" s="967"/>
      <c r="E80" s="423"/>
      <c r="F80" s="663" t="s">
        <v>174</v>
      </c>
      <c r="G80" s="664"/>
      <c r="H80" s="343">
        <v>0</v>
      </c>
      <c r="I80" s="343">
        <v>0</v>
      </c>
      <c r="J80" s="343">
        <v>0</v>
      </c>
      <c r="K80" s="343">
        <v>0</v>
      </c>
      <c r="L80" s="343">
        <v>0</v>
      </c>
      <c r="M80" s="343">
        <v>0</v>
      </c>
      <c r="N80" s="343">
        <v>0</v>
      </c>
      <c r="O80" s="344">
        <v>0</v>
      </c>
      <c r="P80" s="430"/>
      <c r="Q80" s="634"/>
      <c r="R80" s="633"/>
      <c r="S80" s="633"/>
      <c r="T80" s="631"/>
      <c r="U80" s="11"/>
    </row>
    <row r="81" spans="1:21" ht="15" customHeight="1" x14ac:dyDescent="0.25">
      <c r="A81" s="11"/>
      <c r="B81" s="415"/>
      <c r="C81" s="416"/>
      <c r="D81" s="420"/>
      <c r="E81" s="423"/>
      <c r="F81" s="406"/>
      <c r="G81" s="406"/>
      <c r="H81" s="406"/>
      <c r="I81" s="406"/>
      <c r="J81" s="406"/>
      <c r="K81" s="406"/>
      <c r="L81" s="406"/>
      <c r="M81" s="406"/>
      <c r="N81" s="406"/>
      <c r="O81" s="406"/>
      <c r="P81" s="430"/>
      <c r="Q81" s="634" t="str">
        <f>'Feed(DSCR)'!$U$162</f>
        <v>Tier 2 States</v>
      </c>
      <c r="R81" s="633" t="str">
        <f>'Feed(DSCR)'!$V$162</f>
        <v>DC, FL, ID, IL, IN, LA, MI, MN, MO, NC, OH, OK, PA, RI, TN, TX</v>
      </c>
      <c r="S81" s="633"/>
      <c r="T81" s="631">
        <f>'Feed(DSCR)'!$W$162</f>
        <v>0.15</v>
      </c>
      <c r="U81" s="11"/>
    </row>
    <row r="82" spans="1:21" ht="15" customHeight="1" x14ac:dyDescent="0.25">
      <c r="A82" s="11"/>
      <c r="B82" s="415"/>
      <c r="C82" s="416"/>
      <c r="D82" s="420"/>
      <c r="E82" s="423"/>
      <c r="F82" s="411"/>
      <c r="G82" s="411"/>
      <c r="H82" s="411"/>
      <c r="I82" s="411"/>
      <c r="J82" s="411"/>
      <c r="K82" s="411"/>
      <c r="L82" s="411"/>
      <c r="M82" s="411"/>
      <c r="N82" s="411"/>
      <c r="O82" s="411"/>
      <c r="P82" s="430"/>
      <c r="Q82" s="634"/>
      <c r="R82" s="633"/>
      <c r="S82" s="633"/>
      <c r="T82" s="631"/>
      <c r="U82" s="11"/>
    </row>
    <row r="83" spans="1:21" ht="15" customHeight="1" x14ac:dyDescent="0.25">
      <c r="A83" s="11"/>
      <c r="B83" s="415"/>
      <c r="C83" s="416"/>
      <c r="D83" s="420"/>
      <c r="E83" s="423"/>
      <c r="F83" s="411"/>
      <c r="G83" s="411"/>
      <c r="H83" s="411"/>
      <c r="I83" s="411"/>
      <c r="J83" s="411"/>
      <c r="K83" s="411"/>
      <c r="L83" s="411"/>
      <c r="M83" s="411"/>
      <c r="N83" s="411"/>
      <c r="O83" s="411"/>
      <c r="P83" s="430"/>
      <c r="Q83" s="634" t="str">
        <f>'Feed(DSCR)'!$U$163</f>
        <v>Tier 3 States</v>
      </c>
      <c r="R83" s="633" t="str">
        <f>'Feed(DSCR)'!$V$163</f>
        <v>AK, AL, AR, DE, IA, KS, KY, ME, MS, MT, ND, NE, NH, NM, SD, VT WI, WV, WY</v>
      </c>
      <c r="S83" s="633"/>
      <c r="T83" s="631">
        <f>'Feed(DSCR)'!$W$163</f>
        <v>0.25</v>
      </c>
      <c r="U83" s="11"/>
    </row>
    <row r="84" spans="1:21" ht="15" customHeight="1" thickBot="1" x14ac:dyDescent="0.3">
      <c r="A84" s="11"/>
      <c r="B84" s="415"/>
      <c r="C84" s="416"/>
      <c r="D84" s="420"/>
      <c r="E84" s="423"/>
      <c r="F84" s="411"/>
      <c r="G84" s="411"/>
      <c r="H84" s="411"/>
      <c r="I84" s="411"/>
      <c r="J84" s="411"/>
      <c r="K84" s="411"/>
      <c r="L84" s="411"/>
      <c r="M84" s="411"/>
      <c r="N84" s="411"/>
      <c r="O84" s="411"/>
      <c r="P84" s="430"/>
      <c r="Q84" s="641"/>
      <c r="R84" s="642"/>
      <c r="S84" s="642"/>
      <c r="T84" s="632"/>
      <c r="U84" s="11"/>
    </row>
    <row r="85" spans="1:21" ht="15" customHeight="1" x14ac:dyDescent="0.25">
      <c r="A85" s="11"/>
      <c r="B85" s="415"/>
      <c r="C85" s="416"/>
      <c r="D85" s="420"/>
      <c r="E85" s="423"/>
      <c r="F85" s="411"/>
      <c r="G85" s="411"/>
      <c r="H85" s="411"/>
      <c r="I85" s="411"/>
      <c r="J85" s="411"/>
      <c r="K85" s="411"/>
      <c r="L85" s="411"/>
      <c r="M85" s="411"/>
      <c r="N85" s="411"/>
      <c r="O85" s="411"/>
      <c r="P85" s="430"/>
      <c r="Q85" s="621"/>
      <c r="R85" s="411"/>
      <c r="S85" s="411"/>
      <c r="T85" s="407"/>
      <c r="U85" s="11"/>
    </row>
    <row r="86" spans="1:21" ht="15" customHeight="1" thickBot="1" x14ac:dyDescent="0.3">
      <c r="A86" s="11"/>
      <c r="B86" s="404"/>
      <c r="C86" s="405"/>
      <c r="D86" s="421"/>
      <c r="E86" s="423"/>
      <c r="F86" s="408"/>
      <c r="G86" s="408"/>
      <c r="H86" s="408"/>
      <c r="I86" s="408"/>
      <c r="J86" s="408"/>
      <c r="K86" s="408"/>
      <c r="L86" s="408"/>
      <c r="M86" s="408"/>
      <c r="N86" s="408"/>
      <c r="O86" s="408"/>
      <c r="P86" s="431"/>
      <c r="Q86" s="408"/>
      <c r="R86" s="408"/>
      <c r="S86" s="408"/>
      <c r="T86" s="409"/>
      <c r="U86" s="11"/>
    </row>
    <row r="87" spans="1:21" ht="15" customHeight="1" x14ac:dyDescent="0.25">
      <c r="B87" s="671"/>
      <c r="C87" s="671"/>
      <c r="D87" s="56"/>
      <c r="E87" s="56"/>
      <c r="F87" s="89"/>
      <c r="G87" s="89"/>
      <c r="H87" s="91"/>
      <c r="I87" s="91"/>
      <c r="J87" s="91"/>
      <c r="K87" s="91"/>
      <c r="L87" s="91"/>
      <c r="M87" s="91"/>
      <c r="N87" s="91"/>
      <c r="O87" s="91"/>
      <c r="Q87" s="3"/>
      <c r="R87" s="3"/>
    </row>
    <row r="88" spans="1:21" ht="15" customHeight="1" x14ac:dyDescent="0.25">
      <c r="B88" s="671"/>
      <c r="C88" s="671"/>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sheetProtection algorithmName="SHA-512" hashValue="q+2Js1g5zuPkKHepDwL0CEZjLYo4kD23aXXMPUxmdzteRNHegWRVowg4GFsbnaMTx/8rjZBWNG5dDD0e0lyvcg==" saltValue="VX8vaujgAkG5T5sTgl64Rw=="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51:T52"/>
    <mergeCell ref="Q48:T50"/>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96" priority="39" operator="containsText" text="n/a">
      <formula>NOT(ISERROR(SEARCH("n/a",B51)))</formula>
    </cfRule>
  </conditionalFormatting>
  <conditionalFormatting sqref="B55 D55">
    <cfRule type="containsText" dxfId="95" priority="46" operator="containsText" text="n/a">
      <formula>NOT(ISERROR(SEARCH("n/a",B55)))</formula>
    </cfRule>
  </conditionalFormatting>
  <conditionalFormatting sqref="B58">
    <cfRule type="containsText" dxfId="94" priority="47" operator="containsText" text="n/a">
      <formula>NOT(ISERROR(SEARCH("n/a",B58)))</formula>
    </cfRule>
  </conditionalFormatting>
  <conditionalFormatting sqref="B69">
    <cfRule type="containsText" dxfId="93" priority="41" operator="containsText" text="n/a">
      <formula>NOT(ISERROR(SEARCH("n/a",B69)))</formula>
    </cfRule>
  </conditionalFormatting>
  <conditionalFormatting sqref="B71">
    <cfRule type="containsText" dxfId="92" priority="33" operator="containsText" text="n/a">
      <formula>NOT(ISERROR(SEARCH("n/a",B71)))</formula>
    </cfRule>
  </conditionalFormatting>
  <conditionalFormatting sqref="B53:D53">
    <cfRule type="containsText" dxfId="91" priority="36" operator="containsText" text="n/a">
      <formula>NOT(ISERROR(SEARCH("n/a",B53)))</formula>
    </cfRule>
  </conditionalFormatting>
  <conditionalFormatting sqref="B10:D10">
    <cfRule type="containsText" dxfId="90" priority="69" operator="containsText" text="n/a">
      <formula>NOT(ISERROR(SEARCH("n/a",B10)))</formula>
    </cfRule>
  </conditionalFormatting>
  <conditionalFormatting sqref="C14:C50">
    <cfRule type="containsErrors" dxfId="89" priority="65">
      <formula>ISERROR(C14)</formula>
    </cfRule>
  </conditionalFormatting>
  <conditionalFormatting sqref="C14:C52">
    <cfRule type="containsText" dxfId="88" priority="38" operator="containsText" text="n/a">
      <formula>NOT(ISERROR(SEARCH("n/a",C14)))</formula>
    </cfRule>
  </conditionalFormatting>
  <conditionalFormatting sqref="D21:D50">
    <cfRule type="containsErrors" dxfId="87" priority="64">
      <formula>ISERROR(D21)</formula>
    </cfRule>
  </conditionalFormatting>
  <conditionalFormatting sqref="D21:D52">
    <cfRule type="containsText" dxfId="86" priority="37" operator="containsText" text="n/a">
      <formula>NOT(ISERROR(SEARCH("n/a",D21)))</formula>
    </cfRule>
  </conditionalFormatting>
  <conditionalFormatting sqref="F10">
    <cfRule type="containsText" dxfId="85" priority="70" operator="containsText" text="n/a">
      <formula>NOT(ISERROR(SEARCH("n/a",F10)))</formula>
    </cfRule>
  </conditionalFormatting>
  <conditionalFormatting sqref="F20:F21">
    <cfRule type="containsText" dxfId="84" priority="49" operator="containsText" text="n/a">
      <formula>NOT(ISERROR(SEARCH("n/a",F20)))</formula>
    </cfRule>
  </conditionalFormatting>
  <conditionalFormatting sqref="F29">
    <cfRule type="containsText" dxfId="83" priority="34" operator="containsText" text="n/a">
      <formula>NOT(ISERROR(SEARCH("n/a",F29)))</formula>
    </cfRule>
  </conditionalFormatting>
  <conditionalFormatting sqref="F35">
    <cfRule type="containsText" dxfId="82" priority="57" operator="containsText" text="n/a">
      <formula>NOT(ISERROR(SEARCH("n/a",F35)))</formula>
    </cfRule>
  </conditionalFormatting>
  <conditionalFormatting sqref="F45">
    <cfRule type="containsText" dxfId="81" priority="56" operator="containsText" text="n/a">
      <formula>NOT(ISERROR(SEARCH("n/a",F45)))</formula>
    </cfRule>
  </conditionalFormatting>
  <conditionalFormatting sqref="F50">
    <cfRule type="containsText" dxfId="80" priority="55" operator="containsText" text="n/a">
      <formula>NOT(ISERROR(SEARCH("n/a",F50)))</formula>
    </cfRule>
  </conditionalFormatting>
  <conditionalFormatting sqref="F63">
    <cfRule type="containsText" dxfId="79" priority="54" operator="containsText" text="n/a">
      <formula>NOT(ISERROR(SEARCH("n/a",F63)))</formula>
    </cfRule>
  </conditionalFormatting>
  <conditionalFormatting sqref="F70">
    <cfRule type="containsText" dxfId="78" priority="53" operator="containsText" text="n/a">
      <formula>NOT(ISERROR(SEARCH("n/a",F70)))</formula>
    </cfRule>
  </conditionalFormatting>
  <conditionalFormatting sqref="F76">
    <cfRule type="containsText" dxfId="77" priority="52" operator="containsText" text="n/a">
      <formula>NOT(ISERROR(SEARCH("n/a",F76)))</formula>
    </cfRule>
  </conditionalFormatting>
  <conditionalFormatting sqref="H10:O10">
    <cfRule type="containsText" dxfId="76" priority="68" operator="containsText" text="n/a">
      <formula>NOT(ISERROR(SEARCH("n/a",H10)))</formula>
    </cfRule>
  </conditionalFormatting>
  <conditionalFormatting sqref="H20:O20">
    <cfRule type="containsText" dxfId="75" priority="50" operator="containsText" text="n/a">
      <formula>NOT(ISERROR(SEARCH("n/a",H20)))</formula>
    </cfRule>
  </conditionalFormatting>
  <conditionalFormatting sqref="N11:N16 M11:M18 H11:L19">
    <cfRule type="containsText" dxfId="74" priority="72" operator="containsText" text="n/a">
      <formula>NOT(ISERROR(SEARCH("n/a",H11)))</formula>
    </cfRule>
    <cfRule type="containsErrors" dxfId="73" priority="77">
      <formula>ISERROR(H11)</formula>
    </cfRule>
  </conditionalFormatting>
  <conditionalFormatting sqref="O11:O14">
    <cfRule type="containsText" dxfId="72" priority="66" operator="containsText" text="n/a">
      <formula>NOT(ISERROR(SEARCH("n/a",O11)))</formula>
    </cfRule>
    <cfRule type="containsErrors" dxfId="71" priority="67">
      <formula>ISERROR(O11)</formula>
    </cfRule>
  </conditionalFormatting>
  <conditionalFormatting sqref="Q36:Q39">
    <cfRule type="containsText" dxfId="70" priority="58" operator="containsText" text="Rate">
      <formula>NOT(ISERROR(SEARCH("Rate",Q36)))</formula>
    </cfRule>
    <cfRule type="expression" dxfId="69" priority="59">
      <formula>Output_NetPrice_JM &lt; 99</formula>
    </cfRule>
    <cfRule type="expression" dxfId="68" priority="60">
      <formula>Output_NetPrice_ExpNR &lt; 99</formula>
    </cfRule>
  </conditionalFormatting>
  <conditionalFormatting sqref="Q55">
    <cfRule type="containsText" dxfId="67" priority="51" operator="containsText" text="n/a">
      <formula>NOT(ISERROR(SEARCH("n/a",Q55)))</formula>
    </cfRule>
  </conditionalFormatting>
  <conditionalFormatting sqref="Q68">
    <cfRule type="containsText" dxfId="66" priority="43" operator="containsText" text="n/a">
      <formula>NOT(ISERROR(SEARCH("n/a",Q68)))</formula>
    </cfRule>
  </conditionalFormatting>
  <conditionalFormatting sqref="S55:T55">
    <cfRule type="containsText" dxfId="65" priority="42" operator="containsText" text="n/a">
      <formula>NOT(ISERROR(SEARCH("n/a",S55)))</formula>
    </cfRule>
  </conditionalFormatting>
  <conditionalFormatting sqref="S62:T62">
    <cfRule type="containsText" dxfId="64" priority="32" operator="containsText" text="n/a">
      <formula>NOT(ISERROR(SEARCH("n/a",S62)))</formula>
    </cfRule>
  </conditionalFormatting>
  <conditionalFormatting sqref="S70:T70">
    <cfRule type="containsText" dxfId="63" priority="44" operator="containsText" text="n/a">
      <formula>NOT(ISERROR(SEARCH("n/a",S70)))</formula>
    </cfRule>
  </conditionalFormatting>
  <conditionalFormatting sqref="S72:T72">
    <cfRule type="containsText" dxfId="62" priority="48" operator="containsText" text="n/a">
      <formula>NOT(ISERROR(SEARCH("n/a",S72)))</formula>
    </cfRule>
  </conditionalFormatting>
  <conditionalFormatting sqref="S74:T74">
    <cfRule type="containsText" dxfId="61" priority="45" operator="containsText" text="n/a">
      <formula>NOT(ISERROR(SEARCH("n/a",S74)))</formula>
    </cfRule>
  </conditionalFormatting>
  <conditionalFormatting sqref="B8:D8 F8:O8">
    <cfRule type="containsText" dxfId="60" priority="29" operator="containsText" text="n/a">
      <formula>NOT(ISERROR(SEARCH("n/a",B8)))</formula>
    </cfRule>
  </conditionalFormatting>
  <conditionalFormatting sqref="F9">
    <cfRule type="containsText" dxfId="59" priority="30" operator="containsText" text="n/a">
      <formula>NOT(ISERROR(SEARCH("n/a",F9)))</formula>
    </cfRule>
  </conditionalFormatting>
  <conditionalFormatting sqref="Q8:T8">
    <cfRule type="containsText" dxfId="58" priority="31" operator="containsText" text="n/a">
      <formula>NOT(ISERROR(SEARCH("n/a",Q8)))</formula>
    </cfRule>
  </conditionalFormatting>
  <conditionalFormatting sqref="F22">
    <cfRule type="containsText" dxfId="57" priority="28" operator="containsText" text="n/a">
      <formula>NOT(ISERROR(SEARCH("n/a",F22)))</formula>
    </cfRule>
  </conditionalFormatting>
  <conditionalFormatting sqref="Q53:Q54">
    <cfRule type="containsText" dxfId="56" priority="26" operator="containsText" text="n/a">
      <formula>NOT(ISERROR(SEARCH("n/a",Q53)))</formula>
    </cfRule>
  </conditionalFormatting>
  <conditionalFormatting sqref="R53:T54">
    <cfRule type="containsText" dxfId="55" priority="25" operator="containsText" text="n/a">
      <formula>NOT(ISERROR(SEARCH("n/a",R53)))</formula>
    </cfRule>
  </conditionalFormatting>
  <conditionalFormatting sqref="S10">
    <cfRule type="containsText" dxfId="54" priority="22" operator="containsText" text="Rate">
      <formula>NOT(ISERROR(SEARCH("Rate",S10)))</formula>
    </cfRule>
    <cfRule type="expression" dxfId="53" priority="23">
      <formula>Output_NetPrice_JM &lt; 99</formula>
    </cfRule>
    <cfRule type="expression" dxfId="52" priority="24">
      <formula>Output_NetPrice_ExpNR &lt; 99</formula>
    </cfRule>
  </conditionalFormatting>
  <conditionalFormatting sqref="T12:T35">
    <cfRule type="expression" dxfId="51" priority="20">
      <formula>T10&lt;0</formula>
    </cfRule>
    <cfRule type="containsErrors" dxfId="50" priority="21">
      <formula>ISERROR(T12)</formula>
    </cfRule>
  </conditionalFormatting>
  <conditionalFormatting sqref="Q43:Q46">
    <cfRule type="containsText" dxfId="49" priority="17" operator="containsText" text="Rate">
      <formula>NOT(ISERROR(SEARCH("Rate",Q43)))</formula>
    </cfRule>
    <cfRule type="expression" dxfId="48" priority="18">
      <formula>Output_NetPrice_JM &lt; 99</formula>
    </cfRule>
    <cfRule type="expression" dxfId="47" priority="19">
      <formula>Output_NetPrice_ExpNR &lt; 99</formula>
    </cfRule>
  </conditionalFormatting>
  <conditionalFormatting sqref="S43:S45">
    <cfRule type="containsText" dxfId="46" priority="14" operator="containsText" text="Rate">
      <formula>NOT(ISERROR(SEARCH("Rate",S43)))</formula>
    </cfRule>
    <cfRule type="expression" dxfId="45" priority="15">
      <formula>Output_NetPrice_JM &lt; 99</formula>
    </cfRule>
    <cfRule type="expression" dxfId="44" priority="16">
      <formula>Output_NetPrice_ExpNR &lt; 99</formula>
    </cfRule>
  </conditionalFormatting>
  <conditionalFormatting sqref="T44:T45">
    <cfRule type="containsText" dxfId="43" priority="11" operator="containsText" text="Rate">
      <formula>NOT(ISERROR(SEARCH("Rate",T44)))</formula>
    </cfRule>
    <cfRule type="expression" dxfId="42" priority="12">
      <formula>Output_NetPrice_JM &lt; 99</formula>
    </cfRule>
    <cfRule type="expression" dxfId="41" priority="13">
      <formula>Output_NetPrice_ExpNR &lt; 99</formula>
    </cfRule>
  </conditionalFormatting>
  <conditionalFormatting sqref="S46">
    <cfRule type="containsText" dxfId="40" priority="8" operator="containsText" text="Rate">
      <formula>NOT(ISERROR(SEARCH("Rate",S46)))</formula>
    </cfRule>
    <cfRule type="expression" dxfId="39" priority="9">
      <formula>Output_NetPrice_JM &lt; 99</formula>
    </cfRule>
    <cfRule type="expression" dxfId="38" priority="10">
      <formula>Output_NetPrice_ExpNR &lt; 99</formula>
    </cfRule>
  </conditionalFormatting>
  <conditionalFormatting sqref="Q42">
    <cfRule type="containsText" dxfId="37" priority="5" operator="containsText" text="Rate">
      <formula>NOT(ISERROR(SEARCH("Rate",Q42)))</formula>
    </cfRule>
    <cfRule type="expression" dxfId="36" priority="6">
      <formula>Output_NetPrice_JM &lt; 99</formula>
    </cfRule>
    <cfRule type="expression" dxfId="35" priority="7">
      <formula>Output_NetPrice_ExpNR &lt; 99</formula>
    </cfRule>
  </conditionalFormatting>
  <conditionalFormatting sqref="Q78">
    <cfRule type="containsText" dxfId="34" priority="4" operator="containsText" text="n/a">
      <formula>NOT(ISERROR(SEARCH("n/a",Q78)))</formula>
    </cfRule>
  </conditionalFormatting>
  <conditionalFormatting sqref="T36:T39">
    <cfRule type="containsText" dxfId="33" priority="1" operator="containsText" text="Rate">
      <formula>NOT(ISERROR(SEARCH("Rate",T36)))</formula>
    </cfRule>
    <cfRule type="expression" dxfId="32" priority="2">
      <formula>Output_NetPrice_JM &lt; 99</formula>
    </cfRule>
    <cfRule type="expression" dxfId="31" priority="3">
      <formula>Output_NetPrice_ExpNR &lt; 99</formula>
    </cfRule>
  </conditionalFormatting>
  <hyperlinks>
    <hyperlink ref="B70:D70" r:id="rId1" display="Click Here" xr:uid="{9CC5449D-5AB5-4C1E-A230-95069343B6ED}"/>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1452C6E9-72F4-4A50-BEBC-509409887647}">
          <x14:formula1>
            <xm:f>'Feed(DSCR)'!$D$2:$D$4</xm:f>
          </x14:formula1>
          <xm:sqref>S17</xm:sqref>
        </x14:dataValidation>
        <x14:dataValidation type="list" allowBlank="1" showInputMessage="1" showErrorMessage="1" xr:uid="{C60D107D-1238-4D63-88A4-DA38A9C10794}">
          <x14:formula1>
            <xm:f>'Feed(DSCR)'!$K$2:$K$10</xm:f>
          </x14:formula1>
          <xm:sqref>S24</xm:sqref>
        </x14:dataValidation>
        <x14:dataValidation type="list" allowBlank="1" showInputMessage="1" showErrorMessage="1" xr:uid="{E9423132-CB78-4D72-AC6D-BB4B67F4F561}">
          <x14:formula1>
            <xm:f>'Feed(DSCR)'!$G$15:$G$17</xm:f>
          </x14:formula1>
          <xm:sqref>S22</xm:sqref>
        </x14:dataValidation>
        <x14:dataValidation type="list" allowBlank="1" showInputMessage="1" showErrorMessage="1" xr:uid="{10FB33F1-1B1F-48DF-80B3-E29E7026D66E}">
          <x14:formula1>
            <xm:f>'Feed(DSCR)'!$G$2:$G$12</xm:f>
          </x14:formula1>
          <xm:sqref>S20</xm:sqref>
        </x14:dataValidation>
        <x14:dataValidation type="list" allowBlank="1" showInputMessage="1" showErrorMessage="1" xr:uid="{F5765158-F911-4689-B1B4-255D8EC5AF6B}">
          <x14:formula1>
            <xm:f>'Feed(DSCR)'!$S$2:$S$4</xm:f>
          </x14:formula1>
          <xm:sqref>S32</xm:sqref>
        </x14:dataValidation>
        <x14:dataValidation type="list" allowBlank="1" showInputMessage="1" showErrorMessage="1" xr:uid="{50C5970F-35C8-43B5-A0EB-CBE7F70A54B0}">
          <x14:formula1>
            <xm:f>'Feed(DSCR)'!$R$2:$R$5</xm:f>
          </x14:formula1>
          <xm:sqref>S31</xm:sqref>
        </x14:dataValidation>
        <x14:dataValidation type="list" allowBlank="1" showInputMessage="1" showErrorMessage="1" xr:uid="{97A46852-338B-4219-8648-BC032A84C150}">
          <x14:formula1>
            <xm:f>'Feed(DSCR)'!$N$2:$N$6</xm:f>
          </x14:formula1>
          <xm:sqref>S30</xm:sqref>
        </x14:dataValidation>
        <x14:dataValidation type="list" allowBlank="1" showInputMessage="1" showErrorMessage="1" xr:uid="{517743C5-0677-4C73-A649-05A99089041F}">
          <x14:formula1>
            <xm:f>'Feed(DSCR)'!$T$2:$T$17</xm:f>
          </x14:formula1>
          <xm:sqref>S29</xm:sqref>
        </x14:dataValidation>
        <x14:dataValidation type="list" allowBlank="1" showInputMessage="1" showErrorMessage="1" xr:uid="{8EECB305-80E4-4744-AF6F-FB52BCAD350E}">
          <x14:formula1>
            <xm:f>'Feed(DSCR)'!$J$14:$J$16</xm:f>
          </x14:formula1>
          <xm:sqref>S28</xm:sqref>
        </x14:dataValidation>
        <x14:dataValidation type="list" allowBlank="1" showInputMessage="1" showErrorMessage="1" xr:uid="{D469B50C-55A9-4CA0-8C24-1277AE4335E7}">
          <x14:formula1>
            <xm:f>'Feed(DSCR)'!$H$2:$H$14</xm:f>
          </x14:formula1>
          <xm:sqref>S27</xm:sqref>
        </x14:dataValidation>
        <x14:dataValidation type="list" allowBlank="1" showInputMessage="1" showErrorMessage="1" xr:uid="{80642412-F661-465C-954B-8AC7FC50F9BB}">
          <x14:formula1>
            <xm:f>'Feed(DSCR)'!$I$2:$I$4</xm:f>
          </x14:formula1>
          <xm:sqref>S26</xm:sqref>
        </x14:dataValidation>
        <x14:dataValidation type="list" allowBlank="1" showInputMessage="1" showErrorMessage="1" xr:uid="{9424FEE4-3CE8-4261-BD74-BE1B9786D9C8}">
          <x14:formula1>
            <xm:f>'Feed(DSCR)'!$M$2:$M$13</xm:f>
          </x14:formula1>
          <xm:sqref>S25</xm:sqref>
        </x14:dataValidation>
        <x14:dataValidation type="list" allowBlank="1" showInputMessage="1" showErrorMessage="1" xr:uid="{ADB5C4AF-8AC8-40F3-9F17-5660EF372052}">
          <x14:formula1>
            <xm:f>'Feed(DSCR)'!$L$6</xm:f>
          </x14:formula1>
          <xm:sqref>S23</xm:sqref>
        </x14:dataValidation>
        <x14:dataValidation type="list" allowBlank="1" showInputMessage="1" showErrorMessage="1" xr:uid="{00F3A935-5D3C-459D-9805-5B66FA00A2EE}">
          <x14:formula1>
            <xm:f>'Feed(DSCR)'!$J$2:$J$7</xm:f>
          </x14:formula1>
          <xm:sqref>S21</xm:sqref>
        </x14:dataValidation>
        <x14:dataValidation type="list" allowBlank="1" showInputMessage="1" showErrorMessage="1" xr:uid="{4912C594-0DD7-4F15-927A-089968CA0B5D}">
          <x14:formula1>
            <xm:f>'Feed(DSCR)'!$P$2:$P$7</xm:f>
          </x14:formula1>
          <xm:sqref>S19</xm:sqref>
        </x14:dataValidation>
        <x14:dataValidation type="list" allowBlank="1" showInputMessage="1" showErrorMessage="1" xr:uid="{5B9F2BB9-1BBE-4272-B10C-62461606A837}">
          <x14:formula1>
            <xm:f>'Feed(DSCR)'!$E$2:$E$9</xm:f>
          </x14:formula1>
          <xm:sqref>S18</xm:sqref>
        </x14:dataValidation>
        <x14:dataValidation type="list" allowBlank="1" showInputMessage="1" showErrorMessage="1" xr:uid="{834BB057-1410-4D77-8A0F-3D5A4EF48A0F}">
          <x14:formula1>
            <xm:f>'Feed(DSCR)'!$E$14:$E$19</xm:f>
          </x14:formula1>
          <xm:sqref>S16</xm:sqref>
        </x14:dataValidation>
        <x14:dataValidation type="list" allowBlank="1" showInputMessage="1" showErrorMessage="1" xr:uid="{03940707-C84E-4FC1-9250-0D8392D9D79D}">
          <x14:formula1>
            <xm:f>'Feed(DSCR)'!$D$14:$D$20</xm:f>
          </x14:formula1>
          <xm:sqref>S15</xm:sqref>
        </x14:dataValidation>
        <x14:dataValidation type="list" allowBlank="1" showInputMessage="1" showErrorMessage="1" xr:uid="{E7C974E6-F7A1-4DEE-BE30-A7441C86D6C2}">
          <x14:formula1>
            <xm:f>'Feed(DSCR)'!$C$14:$C$18</xm:f>
          </x14:formula1>
          <xm:sqref>S14</xm:sqref>
        </x14:dataValidation>
        <x14:dataValidation type="list" allowBlank="1" showInputMessage="1" showErrorMessage="1" xr:uid="{288DD0C8-7B5A-4E7E-8433-6FE8C25639DF}">
          <x14:formula1>
            <xm:f>'Feed(DSCR)'!$C$5:$C$10</xm:f>
          </x14:formula1>
          <xm:sqref>S13</xm:sqref>
        </x14:dataValidation>
        <x14:dataValidation type="list" allowBlank="1" showInputMessage="1" showErrorMessage="1" xr:uid="{949585DD-0C3B-443F-8B02-3CA698A8655C}">
          <x14:formula1>
            <xm:f>'Feed(DSCR)'!$A$2:$A$12</xm:f>
          </x14:formula1>
          <xm:sqref>S12</xm:sqref>
        </x14:dataValidation>
        <x14:dataValidation type="list" allowBlank="1" showInputMessage="1" showErrorMessage="1" xr:uid="{A827BE1E-0F54-440D-A4CD-59FBCB68F912}">
          <x14:formula1>
            <xm:f>'Feed(DSCR)'!$B$2:$B$11</xm:f>
          </x14:formula1>
          <xm:sqref>S11</xm:sqref>
        </x14:dataValidation>
        <x14:dataValidation type="list" allowBlank="1" showInputMessage="1" showErrorMessage="1" xr:uid="{A1D13D4F-294C-489A-99BC-4FFAAD771814}">
          <x14:formula1>
            <xm:f>'Feed(DSCR)'!$N$81:$N$121</xm:f>
          </x14:formula1>
          <xm:sqref>S10</xm:sqref>
        </x14:dataValidation>
        <x14:dataValidation type="list" allowBlank="1" showInputMessage="1" showErrorMessage="1" xr:uid="{4151E4EC-AB50-480B-821A-9FA62CC82B08}">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0F56F-AEC5-4444-82E9-246345B2819A}">
  <sheetPr codeName="Sheet26">
    <tabColor rgb="FFFC7D20"/>
  </sheetPr>
  <dimension ref="A1:X186"/>
  <sheetViews>
    <sheetView showGridLines="0" zoomScaleNormal="100" workbookViewId="0">
      <selection activeCell="S84" sqref="S84"/>
    </sheetView>
  </sheetViews>
  <sheetFormatPr defaultColWidth="9.140625" defaultRowHeight="15" x14ac:dyDescent="0.25"/>
  <cols>
    <col min="1" max="1" width="2.7109375" style="1" customWidth="1"/>
    <col min="2" max="2" width="16.7109375" style="1" customWidth="1"/>
    <col min="3" max="3" width="19.42578125" style="1" customWidth="1"/>
    <col min="4" max="4" width="2.5703125" style="1" customWidth="1"/>
    <col min="5" max="10" width="17.7109375" style="1" customWidth="1"/>
    <col min="11" max="11" width="1.42578125" style="1" customWidth="1"/>
    <col min="12"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6384" width="9.140625" style="1"/>
  </cols>
  <sheetData>
    <row r="1" spans="1:24" ht="17.45" customHeight="1" x14ac:dyDescent="0.25">
      <c r="A1"/>
      <c r="B1"/>
      <c r="C1"/>
      <c r="D1"/>
      <c r="G1" s="2"/>
      <c r="H1" s="2"/>
      <c r="I1" s="2"/>
      <c r="J1" s="543" t="s">
        <v>0</v>
      </c>
      <c r="K1" s="2"/>
      <c r="L1" s="658"/>
      <c r="M1" s="658"/>
      <c r="N1" s="2"/>
      <c r="O1" s="2"/>
      <c r="P1" s="3"/>
    </row>
    <row r="2" spans="1:24" ht="17.45" customHeight="1" x14ac:dyDescent="0.25">
      <c r="A2"/>
      <c r="B2"/>
      <c r="C2"/>
      <c r="D2"/>
      <c r="G2" s="4"/>
      <c r="H2" s="4"/>
      <c r="I2" s="4"/>
      <c r="J2" s="544" t="s">
        <v>1</v>
      </c>
      <c r="K2" s="4"/>
      <c r="L2" s="660"/>
      <c r="M2" s="660"/>
      <c r="N2" s="2"/>
      <c r="O2" s="2"/>
      <c r="P2" s="3"/>
    </row>
    <row r="3" spans="1:24" ht="17.45" customHeight="1" x14ac:dyDescent="0.25">
      <c r="A3"/>
      <c r="B3"/>
      <c r="C3"/>
      <c r="D3"/>
      <c r="G3" s="4"/>
      <c r="H3" s="4"/>
      <c r="I3" s="4"/>
      <c r="J3" s="544" t="s">
        <v>2</v>
      </c>
      <c r="K3" s="4"/>
      <c r="L3" s="660"/>
      <c r="M3" s="660"/>
      <c r="N3" s="4"/>
      <c r="O3" s="4"/>
    </row>
    <row r="4" spans="1:24" ht="17.45" customHeight="1" x14ac:dyDescent="0.25">
      <c r="A4"/>
      <c r="B4"/>
      <c r="C4"/>
      <c r="D4"/>
      <c r="E4" s="5"/>
      <c r="F4" s="52"/>
      <c r="G4" s="7"/>
      <c r="H4" s="7"/>
      <c r="I4" s="7"/>
      <c r="K4" s="8"/>
      <c r="L4" s="4"/>
      <c r="M4" s="4"/>
      <c r="N4" s="4"/>
      <c r="O4" s="4"/>
    </row>
    <row r="5" spans="1:24" ht="17.45" customHeight="1" thickBot="1" x14ac:dyDescent="0.3">
      <c r="B5" s="511">
        <f ca="1">TODAY()</f>
        <v>46185</v>
      </c>
      <c r="C5" s="506"/>
      <c r="G5" s="9"/>
      <c r="H5" s="65"/>
      <c r="I5" s="546" t="s">
        <v>3</v>
      </c>
      <c r="J5" s="65">
        <v>46146</v>
      </c>
      <c r="K5" s="8"/>
      <c r="M5" s="490"/>
      <c r="N5" s="3"/>
      <c r="O5" s="3"/>
    </row>
    <row r="6" spans="1:24" ht="17.45" customHeight="1" x14ac:dyDescent="0.25">
      <c r="A6" s="271"/>
      <c r="B6" s="990" t="s">
        <v>4</v>
      </c>
      <c r="C6" s="803"/>
      <c r="D6" s="271"/>
      <c r="E6" s="990" t="s">
        <v>901</v>
      </c>
      <c r="F6" s="806"/>
      <c r="G6" s="806"/>
      <c r="H6" s="806"/>
      <c r="I6" s="806"/>
      <c r="J6" s="803"/>
      <c r="K6" s="271"/>
      <c r="L6" s="271"/>
      <c r="M6" s="990" t="s">
        <v>900</v>
      </c>
      <c r="N6" s="806"/>
      <c r="O6" s="806"/>
      <c r="P6" s="803"/>
      <c r="Q6" s="271"/>
    </row>
    <row r="7" spans="1:24" ht="17.45" customHeight="1" thickBot="1" x14ac:dyDescent="0.3">
      <c r="A7" s="271"/>
      <c r="B7" s="804"/>
      <c r="C7" s="805"/>
      <c r="D7" s="271"/>
      <c r="E7" s="804"/>
      <c r="F7" s="807"/>
      <c r="G7" s="807"/>
      <c r="H7" s="807"/>
      <c r="I7" s="807"/>
      <c r="J7" s="805"/>
      <c r="K7" s="271"/>
      <c r="L7" s="271"/>
      <c r="M7" s="804"/>
      <c r="N7" s="807"/>
      <c r="O7" s="807"/>
      <c r="P7" s="805"/>
      <c r="Q7" s="271"/>
    </row>
    <row r="8" spans="1:24" ht="15.75" customHeight="1" x14ac:dyDescent="0.25">
      <c r="A8" s="271"/>
      <c r="B8" s="317"/>
      <c r="C8" s="317"/>
      <c r="D8" s="271"/>
      <c r="E8" s="317"/>
      <c r="F8" s="317"/>
      <c r="G8" s="317"/>
      <c r="H8" s="317"/>
      <c r="I8" s="317"/>
      <c r="J8" s="317"/>
      <c r="K8" s="271"/>
      <c r="L8" s="271"/>
      <c r="M8" s="317"/>
      <c r="N8" s="317"/>
      <c r="O8" s="317"/>
      <c r="P8" s="317"/>
      <c r="Q8" s="271"/>
    </row>
    <row r="9" spans="1:24" ht="16.5" thickBot="1" x14ac:dyDescent="0.3">
      <c r="A9" s="271"/>
      <c r="B9" s="1031" t="s">
        <v>6</v>
      </c>
      <c r="C9" s="808"/>
      <c r="D9" s="271"/>
      <c r="E9" s="1031" t="s">
        <v>7</v>
      </c>
      <c r="F9" s="809"/>
      <c r="G9" s="809"/>
      <c r="H9" s="809"/>
      <c r="I9" s="809"/>
      <c r="J9" s="808"/>
      <c r="K9" s="271"/>
      <c r="L9" s="271"/>
      <c r="M9" s="517"/>
      <c r="N9" s="518"/>
      <c r="O9" s="518" t="s">
        <v>8</v>
      </c>
      <c r="P9" s="519"/>
      <c r="Q9" s="271"/>
    </row>
    <row r="10" spans="1:24" ht="15.75" customHeight="1" thickBot="1" x14ac:dyDescent="0.3">
      <c r="A10" s="271"/>
      <c r="B10" s="241" t="s">
        <v>9</v>
      </c>
      <c r="C10" s="241" t="s">
        <v>209</v>
      </c>
      <c r="D10" s="271"/>
      <c r="E10" s="1032" t="s">
        <v>11</v>
      </c>
      <c r="F10" s="1005"/>
      <c r="G10" s="520" t="s">
        <v>12</v>
      </c>
      <c r="H10" s="520" t="s">
        <v>13</v>
      </c>
      <c r="I10" s="520" t="s">
        <v>14</v>
      </c>
      <c r="J10" s="520" t="s">
        <v>15</v>
      </c>
      <c r="K10" s="271"/>
      <c r="L10" s="271"/>
      <c r="M10" s="1033" t="s">
        <v>21</v>
      </c>
      <c r="N10" s="1034"/>
      <c r="O10" s="14">
        <v>0</v>
      </c>
      <c r="P10" s="521"/>
      <c r="Q10" s="271"/>
    </row>
    <row r="11" spans="1:24" ht="14.25" customHeight="1" x14ac:dyDescent="0.25">
      <c r="A11" s="271"/>
      <c r="B11" s="522">
        <v>7</v>
      </c>
      <c r="C11" s="510">
        <v>94.5</v>
      </c>
      <c r="D11" s="271"/>
      <c r="E11" s="1035" t="s">
        <v>902</v>
      </c>
      <c r="F11" s="1036">
        <v>0</v>
      </c>
      <c r="G11" s="15">
        <v>0.5</v>
      </c>
      <c r="H11" s="15">
        <v>0.25</v>
      </c>
      <c r="I11" s="15">
        <v>0</v>
      </c>
      <c r="J11" s="16">
        <v>-0.25</v>
      </c>
      <c r="K11" s="271"/>
      <c r="L11" s="271"/>
      <c r="M11" s="1024" t="s">
        <v>23</v>
      </c>
      <c r="N11" s="1025"/>
      <c r="O11" s="17" t="s">
        <v>31</v>
      </c>
      <c r="P11" s="521"/>
      <c r="Q11" s="271"/>
      <c r="R11" s="18"/>
      <c r="S11" s="18"/>
      <c r="T11" s="18"/>
      <c r="U11" s="18"/>
      <c r="V11" s="18"/>
      <c r="W11" s="18"/>
      <c r="X11" s="18"/>
    </row>
    <row r="12" spans="1:24" x14ac:dyDescent="0.25">
      <c r="A12" s="271"/>
      <c r="B12" s="522">
        <v>7.125</v>
      </c>
      <c r="C12" s="510">
        <v>94.875</v>
      </c>
      <c r="D12" s="271"/>
      <c r="E12" s="1029" t="s">
        <v>42</v>
      </c>
      <c r="F12" s="1030">
        <v>0</v>
      </c>
      <c r="G12" s="19">
        <v>0.25</v>
      </c>
      <c r="H12" s="19">
        <v>0</v>
      </c>
      <c r="I12" s="15">
        <v>-0.25</v>
      </c>
      <c r="J12" s="20">
        <v>-0.5</v>
      </c>
      <c r="K12" s="271"/>
      <c r="L12" s="271"/>
      <c r="M12" s="1024" t="s">
        <v>25</v>
      </c>
      <c r="N12" s="1025"/>
      <c r="O12" s="17" t="s">
        <v>31</v>
      </c>
      <c r="P12" s="521" t="b">
        <f>IF(ISNUMBER(MATCH($O$11,'Feed(CoreFlex)'!$B$3:$B$11,0)),INDEX($G$11:$J$16,MATCH($O$12,$E$11:$E$16,0),MATCH($O$11,$G$10:$J$10,0)))</f>
        <v>0</v>
      </c>
      <c r="Q12" s="271"/>
      <c r="R12" s="18"/>
      <c r="S12" s="18"/>
      <c r="T12" s="18"/>
      <c r="U12" s="18"/>
      <c r="V12" s="18"/>
      <c r="W12" s="18"/>
      <c r="X12" s="18"/>
    </row>
    <row r="13" spans="1:24" ht="15.75" customHeight="1" x14ac:dyDescent="0.25">
      <c r="A13" s="271"/>
      <c r="B13" s="522">
        <v>7.25</v>
      </c>
      <c r="C13" s="510">
        <v>95.25</v>
      </c>
      <c r="D13" s="271"/>
      <c r="E13" s="1029" t="s">
        <v>44</v>
      </c>
      <c r="F13" s="1030">
        <v>0</v>
      </c>
      <c r="G13" s="19">
        <v>0</v>
      </c>
      <c r="H13" s="19">
        <v>-0.25</v>
      </c>
      <c r="I13" s="15">
        <v>-0.5</v>
      </c>
      <c r="J13" s="20">
        <v>-0.75</v>
      </c>
      <c r="K13" s="271"/>
      <c r="L13" s="271"/>
      <c r="M13" s="1024" t="s">
        <v>27</v>
      </c>
      <c r="N13" s="1025"/>
      <c r="O13" s="17"/>
      <c r="P13" s="521">
        <v>0</v>
      </c>
      <c r="Q13" s="271"/>
      <c r="R13" s="18"/>
      <c r="S13" s="18"/>
      <c r="T13" s="18"/>
      <c r="U13" s="18"/>
      <c r="V13" s="18"/>
      <c r="W13" s="18"/>
      <c r="X13" s="18"/>
    </row>
    <row r="14" spans="1:24" ht="15.75" customHeight="1" x14ac:dyDescent="0.25">
      <c r="A14" s="271"/>
      <c r="B14" s="522">
        <v>7.375</v>
      </c>
      <c r="C14" s="510">
        <v>95.625</v>
      </c>
      <c r="D14" s="271"/>
      <c r="E14" s="1029" t="s">
        <v>903</v>
      </c>
      <c r="F14" s="1030">
        <v>0</v>
      </c>
      <c r="G14" s="19">
        <v>-0.5</v>
      </c>
      <c r="H14" s="19">
        <v>-0.75</v>
      </c>
      <c r="I14" s="15">
        <v>-1</v>
      </c>
      <c r="J14" s="20">
        <v>-1.5</v>
      </c>
      <c r="K14" s="271"/>
      <c r="L14" s="271"/>
      <c r="M14" s="1024" t="s">
        <v>30</v>
      </c>
      <c r="N14" s="1025"/>
      <c r="O14" s="17" t="s">
        <v>31</v>
      </c>
      <c r="P14" s="523">
        <f>IF(OR(O14="",O10=""),"",IF(O14="&lt; 6 Months",NA(),0))</f>
        <v>0</v>
      </c>
      <c r="Q14" s="271"/>
      <c r="R14" s="18"/>
      <c r="S14" s="18"/>
      <c r="T14" s="18"/>
      <c r="U14" s="18"/>
      <c r="V14" s="18"/>
      <c r="W14" s="18"/>
      <c r="X14" s="18"/>
    </row>
    <row r="15" spans="1:24" x14ac:dyDescent="0.25">
      <c r="A15" s="271"/>
      <c r="B15" s="522">
        <v>7.5</v>
      </c>
      <c r="C15" s="510">
        <v>96</v>
      </c>
      <c r="D15" s="271"/>
      <c r="E15" s="1029" t="s">
        <v>904</v>
      </c>
      <c r="F15" s="1030">
        <v>0</v>
      </c>
      <c r="G15" s="19">
        <v>-0.75</v>
      </c>
      <c r="H15" s="19">
        <v>-0.875</v>
      </c>
      <c r="I15" s="15">
        <v>-1.25</v>
      </c>
      <c r="J15" s="20">
        <v>-1.75</v>
      </c>
      <c r="K15" s="271"/>
      <c r="L15" s="271"/>
      <c r="M15" s="1024" t="s">
        <v>33</v>
      </c>
      <c r="N15" s="1025"/>
      <c r="O15" s="17" t="s">
        <v>31</v>
      </c>
      <c r="P15" s="521" t="e">
        <f>IF(OR($O$11="", $O$15=""), "",INDEX($G$33:$J$34,MATCH($O$15,$E$33:$E$34,0),MATCH($O$11,$G$10:$J$10,0)))</f>
        <v>#N/A</v>
      </c>
      <c r="Q15" s="271"/>
      <c r="R15" s="18"/>
      <c r="S15" s="18"/>
      <c r="T15" s="18"/>
      <c r="U15" s="18"/>
      <c r="V15" s="18"/>
      <c r="W15" s="18"/>
      <c r="X15" s="18"/>
    </row>
    <row r="16" spans="1:24" ht="14.25" customHeight="1" x14ac:dyDescent="0.25">
      <c r="A16" s="271"/>
      <c r="B16" s="522">
        <v>7.625</v>
      </c>
      <c r="C16" s="510">
        <v>96.375</v>
      </c>
      <c r="D16" s="271"/>
      <c r="E16" s="1029" t="s">
        <v>905</v>
      </c>
      <c r="F16" s="1030">
        <v>0</v>
      </c>
      <c r="G16" s="19">
        <v>-1</v>
      </c>
      <c r="H16" s="19">
        <v>-1.125</v>
      </c>
      <c r="I16" s="15">
        <v>-1.5</v>
      </c>
      <c r="J16" s="20">
        <v>-2</v>
      </c>
      <c r="K16" s="271"/>
      <c r="L16" s="271"/>
      <c r="M16" s="1024" t="s">
        <v>36</v>
      </c>
      <c r="N16" s="1025"/>
      <c r="O16" s="17" t="s">
        <v>31</v>
      </c>
      <c r="P16" s="521" t="e">
        <f>IF(OR($O$11="", $O$16="", $O$16="NONE"),0,NA())</f>
        <v>#N/A</v>
      </c>
      <c r="Q16" s="271"/>
      <c r="R16" s="18"/>
      <c r="S16" s="18"/>
      <c r="T16" s="18"/>
      <c r="U16" s="18"/>
      <c r="V16" s="18"/>
      <c r="W16" s="18"/>
      <c r="X16" s="18"/>
    </row>
    <row r="17" spans="1:20" ht="15.75" thickBot="1" x14ac:dyDescent="0.3">
      <c r="A17" s="271"/>
      <c r="B17" s="522">
        <v>7.75</v>
      </c>
      <c r="C17" s="510">
        <v>96.75</v>
      </c>
      <c r="D17" s="271"/>
      <c r="E17" s="980"/>
      <c r="F17" s="799"/>
      <c r="G17" s="799"/>
      <c r="H17" s="799"/>
      <c r="I17" s="799"/>
      <c r="J17" s="799"/>
      <c r="K17" s="271"/>
      <c r="L17" s="271"/>
      <c r="M17" s="1024" t="s">
        <v>39</v>
      </c>
      <c r="N17" s="1025"/>
      <c r="O17" s="17" t="s">
        <v>209</v>
      </c>
      <c r="P17" s="521">
        <v>0</v>
      </c>
      <c r="Q17" s="271"/>
      <c r="R17" s="18"/>
      <c r="S17" s="18"/>
      <c r="T17" s="18"/>
    </row>
    <row r="18" spans="1:20" ht="15.75" x14ac:dyDescent="0.25">
      <c r="A18" s="271"/>
      <c r="B18" s="522">
        <v>7.875</v>
      </c>
      <c r="C18" s="510">
        <v>97.125</v>
      </c>
      <c r="D18" s="271"/>
      <c r="E18" s="524"/>
      <c r="F18" s="524"/>
      <c r="G18" s="524"/>
      <c r="H18" s="524"/>
      <c r="I18" s="524"/>
      <c r="J18" s="524"/>
      <c r="K18" s="271"/>
      <c r="L18" s="271"/>
      <c r="M18" s="1024" t="s">
        <v>41</v>
      </c>
      <c r="N18" s="1025"/>
      <c r="O18" s="17" t="s">
        <v>210</v>
      </c>
      <c r="P18" s="521">
        <v>0</v>
      </c>
      <c r="Q18" s="271"/>
      <c r="R18" s="18"/>
      <c r="S18" s="18"/>
      <c r="T18" s="18"/>
    </row>
    <row r="19" spans="1:20" ht="15.75" customHeight="1" x14ac:dyDescent="0.25">
      <c r="A19" s="271"/>
      <c r="B19" s="522">
        <v>8</v>
      </c>
      <c r="C19" s="510">
        <v>97.5</v>
      </c>
      <c r="D19" s="271"/>
      <c r="E19" s="980" t="s">
        <v>47</v>
      </c>
      <c r="F19" s="799"/>
      <c r="G19" s="799"/>
      <c r="H19" s="799"/>
      <c r="I19" s="799"/>
      <c r="J19" s="799"/>
      <c r="K19" s="271"/>
      <c r="L19" s="271"/>
      <c r="M19" s="1024" t="s">
        <v>592</v>
      </c>
      <c r="N19" s="1025"/>
      <c r="O19" s="17" t="s">
        <v>31</v>
      </c>
      <c r="P19" s="521" t="e">
        <f>IF(OR($O$11="",$O$19=""),"",IF(O19="US Citizen",0,INDEX($G$36:$J$36,MATCH($O$19,E36,0),MATCH($O$11,$G$10:$J$10,0))))</f>
        <v>#N/A</v>
      </c>
      <c r="Q19" s="271"/>
      <c r="R19" s="18"/>
      <c r="S19" s="18"/>
      <c r="T19" s="18"/>
    </row>
    <row r="20" spans="1:20" ht="15.75" customHeight="1" x14ac:dyDescent="0.25">
      <c r="A20" s="271"/>
      <c r="B20" s="522">
        <v>8.125</v>
      </c>
      <c r="C20" s="510">
        <v>97.875</v>
      </c>
      <c r="D20" s="271"/>
      <c r="E20" s="651" t="s">
        <v>68</v>
      </c>
      <c r="F20" s="652">
        <v>0</v>
      </c>
      <c r="G20" s="22">
        <v>0</v>
      </c>
      <c r="H20" s="22">
        <v>0</v>
      </c>
      <c r="I20" s="22">
        <v>0</v>
      </c>
      <c r="J20" s="23">
        <v>0</v>
      </c>
      <c r="K20" s="271"/>
      <c r="L20" s="271"/>
      <c r="M20" s="1024" t="s">
        <v>45</v>
      </c>
      <c r="N20" s="1025"/>
      <c r="O20" s="17" t="s">
        <v>31</v>
      </c>
      <c r="P20" s="521" t="e">
        <f>IF(O20="DTI ≤40%",0,IF(OR($O$11="",$O$20=""),"",INDEX($G$37:$J$37,MATCH($O$20,E37,0),MATCH($O$11,$G$10:$J$10,0))))</f>
        <v>#N/A</v>
      </c>
      <c r="Q20" s="271"/>
      <c r="R20" s="18"/>
      <c r="S20" s="18"/>
      <c r="T20" s="18"/>
    </row>
    <row r="21" spans="1:20" ht="15.75" customHeight="1" x14ac:dyDescent="0.25">
      <c r="A21" s="271"/>
      <c r="B21" s="522">
        <v>8.25</v>
      </c>
      <c r="C21" s="510">
        <v>98.25</v>
      </c>
      <c r="D21" s="271"/>
      <c r="E21" s="651" t="s">
        <v>70</v>
      </c>
      <c r="F21" s="652">
        <v>0</v>
      </c>
      <c r="G21" s="22">
        <v>-0.25</v>
      </c>
      <c r="H21" s="22">
        <v>-0.25</v>
      </c>
      <c r="I21" s="22">
        <v>-0.25</v>
      </c>
      <c r="J21" s="23">
        <v>-0.25</v>
      </c>
      <c r="K21" s="271"/>
      <c r="L21" s="271"/>
      <c r="M21" s="1024" t="s">
        <v>46</v>
      </c>
      <c r="N21" s="1025"/>
      <c r="O21" s="17" t="s">
        <v>31</v>
      </c>
      <c r="P21" s="521" t="e">
        <f>IF(OR($O$11="", $O$21=""), "",INDEX($G$24:$J$28,MATCH($O$21,$E$24:$E$28,0),MATCH($O$11,$G$10:$J$10,0)))</f>
        <v>#N/A</v>
      </c>
      <c r="Q21" s="271"/>
      <c r="R21" s="18"/>
      <c r="T21" s="18"/>
    </row>
    <row r="22" spans="1:20" x14ac:dyDescent="0.25">
      <c r="A22" s="271"/>
      <c r="B22" s="522">
        <v>8.375</v>
      </c>
      <c r="C22" s="510">
        <v>98.625</v>
      </c>
      <c r="D22" s="271"/>
      <c r="E22" s="651" t="s">
        <v>72</v>
      </c>
      <c r="F22" s="652">
        <v>0</v>
      </c>
      <c r="G22" s="22">
        <v>-0.5</v>
      </c>
      <c r="H22" s="22">
        <v>-0.5</v>
      </c>
      <c r="I22" s="22">
        <v>-0.5</v>
      </c>
      <c r="J22" s="23" t="e">
        <v>#N/A</v>
      </c>
      <c r="K22" s="271"/>
      <c r="L22" s="271"/>
      <c r="M22" s="1024" t="s">
        <v>47</v>
      </c>
      <c r="N22" s="1025"/>
      <c r="O22" s="17" t="s">
        <v>31</v>
      </c>
      <c r="P22" s="521" t="e">
        <f>IF(OR($O$11="", $O$22=""), "",INDEX($G$20:$J$22,MATCH($O$22,$E$20:$E$22,0),MATCH($O$11,$G$10:$J$10,0)))</f>
        <v>#N/A</v>
      </c>
      <c r="Q22" s="271"/>
      <c r="T22" s="18"/>
    </row>
    <row r="23" spans="1:20" ht="15.75" customHeight="1" x14ac:dyDescent="0.25">
      <c r="A23" s="271"/>
      <c r="B23" s="522">
        <v>8.5</v>
      </c>
      <c r="C23" s="510">
        <v>99</v>
      </c>
      <c r="D23" s="271"/>
      <c r="E23" s="971" t="s">
        <v>78</v>
      </c>
      <c r="F23" s="798"/>
      <c r="G23" s="798"/>
      <c r="H23" s="798"/>
      <c r="I23" s="798"/>
      <c r="J23" s="798"/>
      <c r="K23" s="271"/>
      <c r="L23" s="271"/>
      <c r="M23" s="1024" t="s">
        <v>49</v>
      </c>
      <c r="N23" s="1025"/>
      <c r="O23" s="17" t="s">
        <v>213</v>
      </c>
      <c r="P23" s="521">
        <v>0</v>
      </c>
      <c r="Q23" s="271"/>
      <c r="S23" s="24"/>
      <c r="T23" s="18"/>
    </row>
    <row r="24" spans="1:20" ht="15.75" customHeight="1" x14ac:dyDescent="0.25">
      <c r="A24" s="271"/>
      <c r="B24" s="522">
        <v>8.625</v>
      </c>
      <c r="C24" s="510">
        <v>99.25</v>
      </c>
      <c r="D24" s="271"/>
      <c r="E24" s="651" t="s">
        <v>908</v>
      </c>
      <c r="F24" s="652">
        <v>0</v>
      </c>
      <c r="G24" s="22">
        <v>-0.25</v>
      </c>
      <c r="H24" s="22">
        <v>-0.25</v>
      </c>
      <c r="I24" s="22">
        <v>-0.25</v>
      </c>
      <c r="J24" s="23">
        <v>-0.25</v>
      </c>
      <c r="K24" s="271"/>
      <c r="L24" s="271"/>
      <c r="M24" s="1024" t="s">
        <v>50</v>
      </c>
      <c r="N24" s="1025"/>
      <c r="O24" s="17" t="s">
        <v>31</v>
      </c>
      <c r="P24" s="521" t="e">
        <f>IF(OR(O24="SFR",O24="PUD"),0,IF(OR($O$11="",$O$24=""),"",INDEX($G$30:$J$31,MATCH($O$24,$E$30:$E$31,0),MATCH($O$11,$G$10:$J$10,0))))</f>
        <v>#N/A</v>
      </c>
      <c r="Q24" s="271"/>
      <c r="S24" s="24"/>
      <c r="T24" s="18"/>
    </row>
    <row r="25" spans="1:20" ht="15.75" customHeight="1" x14ac:dyDescent="0.25">
      <c r="A25" s="271"/>
      <c r="B25" s="522">
        <v>8.75</v>
      </c>
      <c r="C25" s="510">
        <v>99.5</v>
      </c>
      <c r="D25" s="271"/>
      <c r="E25" s="651" t="s">
        <v>776</v>
      </c>
      <c r="F25" s="652">
        <v>0</v>
      </c>
      <c r="G25" s="22">
        <v>0</v>
      </c>
      <c r="H25" s="22">
        <v>0</v>
      </c>
      <c r="I25" s="22">
        <v>0</v>
      </c>
      <c r="J25" s="23">
        <v>0</v>
      </c>
      <c r="K25" s="271"/>
      <c r="L25" s="271"/>
      <c r="M25" s="1024" t="s">
        <v>52</v>
      </c>
      <c r="N25" s="1025"/>
      <c r="O25" s="17" t="s">
        <v>53</v>
      </c>
      <c r="P25" s="521">
        <v>0</v>
      </c>
      <c r="Q25" s="271"/>
      <c r="T25" s="18"/>
    </row>
    <row r="26" spans="1:20" x14ac:dyDescent="0.25">
      <c r="A26" s="271"/>
      <c r="B26" s="522">
        <v>8.875</v>
      </c>
      <c r="C26" s="510">
        <v>99.75</v>
      </c>
      <c r="D26" s="271"/>
      <c r="E26" s="651" t="s">
        <v>909</v>
      </c>
      <c r="F26" s="652">
        <v>0</v>
      </c>
      <c r="G26" s="22">
        <v>0</v>
      </c>
      <c r="H26" s="22">
        <v>0</v>
      </c>
      <c r="I26" s="22">
        <v>0</v>
      </c>
      <c r="J26" s="23">
        <v>0</v>
      </c>
      <c r="K26" s="271"/>
      <c r="L26" s="271"/>
      <c r="M26" s="1024" t="s">
        <v>55</v>
      </c>
      <c r="N26" s="1025"/>
      <c r="O26" s="17" t="s">
        <v>31</v>
      </c>
      <c r="P26" s="521">
        <f>IF(O26="Escrow Waived",NA(),0)</f>
        <v>0</v>
      </c>
      <c r="Q26" s="271"/>
      <c r="T26" s="18"/>
    </row>
    <row r="27" spans="1:20" ht="15.75" customHeight="1" x14ac:dyDescent="0.25">
      <c r="A27" s="271"/>
      <c r="B27" s="522">
        <v>9</v>
      </c>
      <c r="C27" s="510">
        <v>100</v>
      </c>
      <c r="D27" s="271"/>
      <c r="E27" s="651" t="s">
        <v>910</v>
      </c>
      <c r="F27" s="652">
        <v>0</v>
      </c>
      <c r="G27" s="22">
        <v>-0.25</v>
      </c>
      <c r="H27" s="22">
        <v>-0.25</v>
      </c>
      <c r="I27" s="22">
        <v>-0.25</v>
      </c>
      <c r="J27" s="23">
        <v>-0.25</v>
      </c>
      <c r="K27" s="271"/>
      <c r="L27" s="271"/>
      <c r="M27" s="1024" t="s">
        <v>58</v>
      </c>
      <c r="N27" s="1025"/>
      <c r="O27" s="17"/>
      <c r="P27" s="521">
        <v>0</v>
      </c>
      <c r="Q27" s="271"/>
      <c r="R27" s="3"/>
      <c r="T27" s="18"/>
    </row>
    <row r="28" spans="1:20" ht="15.75" customHeight="1" x14ac:dyDescent="0.25">
      <c r="A28" s="271"/>
      <c r="B28" s="522">
        <v>9.125</v>
      </c>
      <c r="C28" s="510">
        <v>100.25</v>
      </c>
      <c r="D28" s="271"/>
      <c r="E28" s="653" t="s">
        <v>86</v>
      </c>
      <c r="F28" s="654">
        <v>0</v>
      </c>
      <c r="G28" s="22">
        <v>-0.25</v>
      </c>
      <c r="H28" s="22">
        <v>-0.25</v>
      </c>
      <c r="I28" s="22">
        <v>-0.25</v>
      </c>
      <c r="J28" s="23">
        <v>-0.25</v>
      </c>
      <c r="K28" s="271"/>
      <c r="L28" s="271"/>
      <c r="M28" s="1024" t="s">
        <v>60</v>
      </c>
      <c r="N28" s="1025"/>
      <c r="O28" s="17"/>
      <c r="P28" s="521">
        <v>0</v>
      </c>
      <c r="Q28" s="271"/>
      <c r="R28" s="3"/>
      <c r="T28" s="18"/>
    </row>
    <row r="29" spans="1:20" x14ac:dyDescent="0.25">
      <c r="A29" s="271"/>
      <c r="B29" s="522">
        <v>9.25</v>
      </c>
      <c r="C29" s="510">
        <v>100.5</v>
      </c>
      <c r="D29" s="271"/>
      <c r="E29" s="971" t="s">
        <v>50</v>
      </c>
      <c r="F29" s="798"/>
      <c r="G29" s="798"/>
      <c r="H29" s="798"/>
      <c r="I29" s="798"/>
      <c r="J29" s="798"/>
      <c r="K29" s="271"/>
      <c r="L29" s="271"/>
      <c r="M29" s="1024" t="s">
        <v>62</v>
      </c>
      <c r="N29" s="1025"/>
      <c r="O29" s="17" t="s">
        <v>31</v>
      </c>
      <c r="P29" s="521" t="e">
        <f>IF(O29="All Other States",0,NA())</f>
        <v>#N/A</v>
      </c>
      <c r="Q29" s="271"/>
      <c r="R29" s="25"/>
      <c r="T29" s="18"/>
    </row>
    <row r="30" spans="1:20" x14ac:dyDescent="0.25">
      <c r="A30" s="271"/>
      <c r="B30" s="522">
        <v>9.375</v>
      </c>
      <c r="C30" s="510">
        <v>100.75</v>
      </c>
      <c r="D30" s="271"/>
      <c r="E30" s="629" t="s">
        <v>915</v>
      </c>
      <c r="F30" s="630">
        <v>0</v>
      </c>
      <c r="G30" s="22">
        <v>0</v>
      </c>
      <c r="H30" s="22">
        <v>0</v>
      </c>
      <c r="I30" s="22">
        <v>0</v>
      </c>
      <c r="J30" s="23">
        <v>0</v>
      </c>
      <c r="K30" s="271"/>
      <c r="L30" s="271"/>
      <c r="M30" s="1024" t="s">
        <v>64</v>
      </c>
      <c r="N30" s="1025"/>
      <c r="O30" s="26" t="s">
        <v>31</v>
      </c>
      <c r="P30" s="521" t="e">
        <f>IF(OR(O30="",O11=""),NA(),IF(OR(O30="15 Day",O30="30 Day"),0,VLOOKUP(O30,$B$42:$C$43,2,FALSE)))</f>
        <v>#N/A</v>
      </c>
      <c r="Q30" s="271"/>
      <c r="T30" s="18"/>
    </row>
    <row r="31" spans="1:20" x14ac:dyDescent="0.25">
      <c r="A31" s="271"/>
      <c r="B31" s="522">
        <v>9.5</v>
      </c>
      <c r="C31" s="510">
        <v>101</v>
      </c>
      <c r="D31" s="271"/>
      <c r="E31" s="629" t="s">
        <v>911</v>
      </c>
      <c r="F31" s="630">
        <v>0</v>
      </c>
      <c r="G31" s="22">
        <v>-0.25</v>
      </c>
      <c r="H31" s="22">
        <v>-0.25</v>
      </c>
      <c r="I31" s="22">
        <v>-0.25</v>
      </c>
      <c r="J31" s="23">
        <v>-0.25</v>
      </c>
      <c r="K31" s="271"/>
      <c r="L31" s="271"/>
      <c r="M31" s="1024" t="s">
        <v>66</v>
      </c>
      <c r="N31" s="1025"/>
      <c r="O31" s="26" t="s">
        <v>31</v>
      </c>
      <c r="P31" s="521" cm="1">
        <f t="array" ref="P31">IF(OR(AND(OR($O$31='Feed(CoreFlex)'!$R$4:$R$5), $O$22&lt;&gt;'Feed(CoreFlex)'!$J$3),AND(OR($O$31='Feed(CoreFlex)'!$R$4:$R$5), $O$25&lt;&gt;'Feed(CoreFlex)'!$M$4),AND(OR($O$31='Feed(CoreFlex)'!$R$4:$R$5),$O$23&lt;&gt;'Feed(CoreFlex)'!$L$3:$L$4),),NA(),0)</f>
        <v>0</v>
      </c>
      <c r="Q31" s="271"/>
      <c r="T31" s="18"/>
    </row>
    <row r="32" spans="1:20" x14ac:dyDescent="0.25">
      <c r="A32" s="271"/>
      <c r="B32" s="522">
        <v>9.625</v>
      </c>
      <c r="C32" s="510">
        <v>101.25</v>
      </c>
      <c r="D32" s="271"/>
      <c r="E32" s="971" t="s">
        <v>33</v>
      </c>
      <c r="F32" s="798"/>
      <c r="G32" s="798"/>
      <c r="H32" s="798"/>
      <c r="I32" s="798"/>
      <c r="J32" s="798"/>
      <c r="K32" s="271"/>
      <c r="L32" s="271"/>
      <c r="M32" s="1024" t="s">
        <v>69</v>
      </c>
      <c r="N32" s="1025"/>
      <c r="O32" s="26" t="s">
        <v>31</v>
      </c>
      <c r="P32" s="521">
        <v>0</v>
      </c>
      <c r="Q32" s="271"/>
      <c r="T32" s="18"/>
    </row>
    <row r="33" spans="1:20" ht="15.75" customHeight="1" x14ac:dyDescent="0.25">
      <c r="A33" s="271"/>
      <c r="B33" s="522">
        <v>9.75</v>
      </c>
      <c r="C33" s="510">
        <v>101.5</v>
      </c>
      <c r="D33" s="271"/>
      <c r="E33" s="629" t="s">
        <v>34</v>
      </c>
      <c r="F33" s="630">
        <v>0</v>
      </c>
      <c r="G33" s="22">
        <v>0</v>
      </c>
      <c r="H33" s="22">
        <v>0</v>
      </c>
      <c r="I33" s="22">
        <v>0</v>
      </c>
      <c r="J33" s="23">
        <v>0</v>
      </c>
      <c r="K33" s="271"/>
      <c r="L33" s="271"/>
      <c r="M33" s="1024" t="s">
        <v>71</v>
      </c>
      <c r="N33" s="1025"/>
      <c r="O33" s="27" t="s">
        <v>31</v>
      </c>
      <c r="P33" s="521">
        <f>'Feed(CoreFlex)'!$B$46</f>
        <v>0</v>
      </c>
      <c r="Q33" s="271"/>
      <c r="T33" s="18"/>
    </row>
    <row r="34" spans="1:20" x14ac:dyDescent="0.25">
      <c r="A34" s="271"/>
      <c r="B34" s="525"/>
      <c r="C34" s="526"/>
      <c r="D34" s="271"/>
      <c r="E34" s="629" t="s">
        <v>166</v>
      </c>
      <c r="F34" s="630">
        <v>0</v>
      </c>
      <c r="G34" s="22">
        <v>-0.5</v>
      </c>
      <c r="H34" s="22">
        <v>-0.5</v>
      </c>
      <c r="I34" s="22">
        <v>-0.5</v>
      </c>
      <c r="J34" s="23" t="e">
        <v>#N/A</v>
      </c>
      <c r="K34" s="271"/>
      <c r="L34" s="271"/>
      <c r="M34" s="1024" t="s">
        <v>769</v>
      </c>
      <c r="N34" s="1025"/>
      <c r="O34" s="26" t="s">
        <v>766</v>
      </c>
      <c r="P34" s="521">
        <f>IF(O34="Tier 1 States",J42,IF(O34="Tier 2 States",J44,IF(O34="Tier 3 States",J46,"0.000")))</f>
        <v>0</v>
      </c>
      <c r="Q34" s="271"/>
    </row>
    <row r="35" spans="1:20" ht="15.75" customHeight="1" x14ac:dyDescent="0.25">
      <c r="A35" s="271"/>
      <c r="B35" s="525"/>
      <c r="C35" s="526"/>
      <c r="D35" s="271"/>
      <c r="E35" s="971" t="s">
        <v>143</v>
      </c>
      <c r="F35" s="798"/>
      <c r="G35" s="798"/>
      <c r="H35" s="798"/>
      <c r="I35" s="798"/>
      <c r="J35" s="798"/>
      <c r="K35" s="271"/>
      <c r="L35" s="271"/>
      <c r="M35" s="1024" t="str">
        <f>IF('Feed(WS)'!Z1=0,"",INDEX('Feed(WS)'!$AA$1:$AA$3,MATCH('Feed(WS)'!Z1,'Feed(WS)'!$Z$1:$Z$3,0)))</f>
        <v xml:space="preserve">Special </v>
      </c>
      <c r="N35" s="1025"/>
      <c r="O35" s="27" t="str">
        <f>IF(P35=FALSE,"Not Applicable","Yes")</f>
        <v>Not Applicable</v>
      </c>
      <c r="P35" s="521" t="b">
        <f>'Feed(CoreFlex)'!$A$20</f>
        <v>0</v>
      </c>
      <c r="Q35" s="271"/>
    </row>
    <row r="36" spans="1:20" x14ac:dyDescent="0.25">
      <c r="A36" s="271"/>
      <c r="B36" s="525"/>
      <c r="C36" s="526"/>
      <c r="D36" s="271"/>
      <c r="E36" s="651" t="s">
        <v>906</v>
      </c>
      <c r="F36" s="652">
        <v>0</v>
      </c>
      <c r="G36" s="22">
        <v>-0.25</v>
      </c>
      <c r="H36" s="22">
        <v>-0.25</v>
      </c>
      <c r="I36" s="22">
        <v>-0.25</v>
      </c>
      <c r="J36" s="23">
        <v>-0.25</v>
      </c>
      <c r="K36" s="271"/>
      <c r="L36" s="271"/>
      <c r="M36" s="840" t="s">
        <v>77</v>
      </c>
      <c r="N36" s="798"/>
      <c r="O36" s="644"/>
      <c r="P36" s="514" t="e">
        <f>SUM($P$12:$P$35)</f>
        <v>#N/A</v>
      </c>
      <c r="Q36" s="271"/>
    </row>
    <row r="37" spans="1:20" ht="15.75" customHeight="1" thickBot="1" x14ac:dyDescent="0.3">
      <c r="A37" s="271"/>
      <c r="B37" s="525"/>
      <c r="C37" s="526"/>
      <c r="D37" s="271"/>
      <c r="E37" s="697" t="s">
        <v>907</v>
      </c>
      <c r="F37" s="698">
        <v>0</v>
      </c>
      <c r="G37" s="44">
        <v>-0.25</v>
      </c>
      <c r="H37" s="44">
        <v>-0.25</v>
      </c>
      <c r="I37" s="44">
        <v>-0.25</v>
      </c>
      <c r="J37" s="45">
        <v>-0.25</v>
      </c>
      <c r="K37" s="271"/>
      <c r="L37" s="271"/>
      <c r="M37" s="840" t="s">
        <v>79</v>
      </c>
      <c r="N37" s="840"/>
      <c r="O37" s="841"/>
      <c r="P37" s="514" t="str">
        <f>IFERROR(INDEX(C10:C37,MATCH(O10,B10:B37,0),MATCH(O17,C10:C10,0)),"#N/A")</f>
        <v>#N/A</v>
      </c>
      <c r="Q37" s="271"/>
      <c r="S37" s="25"/>
    </row>
    <row r="38" spans="1:20" ht="15.75" customHeight="1" thickBot="1" x14ac:dyDescent="0.3">
      <c r="A38" s="271"/>
      <c r="B38" s="527"/>
      <c r="C38" s="528"/>
      <c r="D38" s="271"/>
      <c r="E38" s="971"/>
      <c r="F38" s="798"/>
      <c r="G38" s="798"/>
      <c r="H38" s="798"/>
      <c r="I38" s="798"/>
      <c r="J38" s="798"/>
      <c r="K38" s="271"/>
      <c r="L38" s="271"/>
      <c r="M38" s="840" t="s">
        <v>81</v>
      </c>
      <c r="N38" s="840"/>
      <c r="O38" s="841"/>
      <c r="P38" s="514" t="e">
        <f>IFERROR(P37+P36,NA())</f>
        <v>#N/A</v>
      </c>
      <c r="Q38" s="271"/>
    </row>
    <row r="39" spans="1:20" ht="15.75" x14ac:dyDescent="0.25">
      <c r="A39" s="271"/>
      <c r="B39" s="529"/>
      <c r="C39" s="530"/>
      <c r="D39" s="271"/>
      <c r="E39" s="524"/>
      <c r="F39" s="524"/>
      <c r="G39" s="524"/>
      <c r="H39" s="524"/>
      <c r="I39" s="524"/>
      <c r="J39" s="524"/>
      <c r="K39" s="271"/>
      <c r="L39" s="271"/>
      <c r="M39" s="840" t="s">
        <v>83</v>
      </c>
      <c r="N39" s="840"/>
      <c r="O39" s="841"/>
      <c r="P39" s="514">
        <f>IF(OR('Feed(CoreFlex)'!$E$126=0,ISERROR('Feed(CoreFlex)'!$E$126)),NA(),'Feed(CoreFlex)'!$E$126)</f>
        <v>99</v>
      </c>
      <c r="Q39" s="271"/>
    </row>
    <row r="40" spans="1:20" ht="14.25" customHeight="1" thickBot="1" x14ac:dyDescent="0.3">
      <c r="A40" s="271"/>
      <c r="B40" s="517"/>
      <c r="C40" s="519"/>
      <c r="D40" s="271"/>
      <c r="E40" s="1026" t="s">
        <v>897</v>
      </c>
      <c r="F40" s="1027"/>
      <c r="G40" s="1027"/>
      <c r="H40" s="1027"/>
      <c r="I40" s="1027"/>
      <c r="J40" s="1028"/>
      <c r="K40" s="271"/>
      <c r="L40" s="271"/>
      <c r="M40" s="774" t="s">
        <v>85</v>
      </c>
      <c r="N40" s="775"/>
      <c r="O40" s="776"/>
      <c r="P40" s="203" t="e">
        <f>IF(OR($P$36="#NA",$P$37="#NA"),NA(),IF($O$10&lt;&gt;'Feed(CoreFlex)'!$K$113,"Max Price "&amp;B46&amp;" @ "&amp;O10,IF($P$38&gt;$P$39,$P$39,$P$38)))</f>
        <v>#N/A</v>
      </c>
      <c r="Q40" s="271"/>
    </row>
    <row r="41" spans="1:20" ht="14.25" customHeight="1" thickBot="1" x14ac:dyDescent="0.3">
      <c r="A41" s="271"/>
      <c r="B41" s="527" t="s">
        <v>64</v>
      </c>
      <c r="C41" s="527" t="s">
        <v>101</v>
      </c>
      <c r="D41" s="271"/>
      <c r="E41" s="971" t="s">
        <v>898</v>
      </c>
      <c r="F41" s="798"/>
      <c r="G41" s="798"/>
      <c r="H41" s="798"/>
      <c r="I41" s="798"/>
      <c r="J41" s="798"/>
      <c r="K41" s="271"/>
      <c r="L41" s="271"/>
      <c r="M41" s="800" t="str" cm="1">
        <f t="array" ref="M41">IF(OR($O$11:$O$25="Choose a Selection"),"",CONCATENATE('Feed(WS)'!$I$134," ",'Feed(WS)'!$K$134,"%"&amp;" @ "&amp;'Feed(WS)'!$L$134))</f>
        <v/>
      </c>
      <c r="N41" s="801"/>
      <c r="O41" s="801"/>
      <c r="P41" s="802"/>
      <c r="Q41" s="271"/>
    </row>
    <row r="42" spans="1:20" ht="13.5" customHeight="1" x14ac:dyDescent="0.25">
      <c r="A42" s="271"/>
      <c r="B42" s="29" t="s">
        <v>106</v>
      </c>
      <c r="C42" s="30">
        <v>-0.25</v>
      </c>
      <c r="D42" s="271"/>
      <c r="E42" s="634" t="s">
        <v>766</v>
      </c>
      <c r="F42" s="689" t="s">
        <v>935</v>
      </c>
      <c r="G42" s="690"/>
      <c r="H42" s="690"/>
      <c r="I42" s="691"/>
      <c r="J42" s="687">
        <v>0</v>
      </c>
      <c r="K42" s="271"/>
      <c r="L42" s="271"/>
      <c r="M42" s="840" t="s">
        <v>759</v>
      </c>
      <c r="N42" s="798"/>
      <c r="O42" s="798"/>
      <c r="P42" s="798"/>
      <c r="Q42" s="271"/>
    </row>
    <row r="43" spans="1:20" ht="13.5" customHeight="1" thickBot="1" x14ac:dyDescent="0.3">
      <c r="A43" s="271"/>
      <c r="B43" s="29" t="s">
        <v>111</v>
      </c>
      <c r="C43" s="30">
        <v>-0.5</v>
      </c>
      <c r="D43" s="271"/>
      <c r="E43" s="634"/>
      <c r="F43" s="692"/>
      <c r="G43" s="693"/>
      <c r="H43" s="693"/>
      <c r="I43" s="694"/>
      <c r="J43" s="688"/>
      <c r="K43" s="271"/>
      <c r="L43" s="271"/>
      <c r="M43" s="1015" t="s">
        <v>760</v>
      </c>
      <c r="N43" s="1016"/>
      <c r="O43" s="1022">
        <v>500000</v>
      </c>
      <c r="P43" s="1023"/>
      <c r="Q43" s="271"/>
    </row>
    <row r="44" spans="1:20" ht="13.5" customHeight="1" thickBot="1" x14ac:dyDescent="0.3">
      <c r="A44" s="271"/>
      <c r="B44" s="316"/>
      <c r="C44" s="532"/>
      <c r="D44" s="271"/>
      <c r="E44" s="634" t="s">
        <v>767</v>
      </c>
      <c r="F44" s="689" t="s">
        <v>779</v>
      </c>
      <c r="G44" s="690"/>
      <c r="H44" s="690"/>
      <c r="I44" s="691"/>
      <c r="J44" s="687">
        <v>0.15</v>
      </c>
      <c r="K44" s="271"/>
      <c r="L44" s="271"/>
      <c r="M44" s="1015" t="s">
        <v>761</v>
      </c>
      <c r="N44" s="1016"/>
      <c r="O44" s="513">
        <v>2.25</v>
      </c>
      <c r="P44" s="531">
        <f>O44/100*O43</f>
        <v>11250</v>
      </c>
      <c r="Q44" s="271"/>
    </row>
    <row r="45" spans="1:20" ht="13.5" customHeight="1" thickBot="1" x14ac:dyDescent="0.3">
      <c r="A45" s="271"/>
      <c r="B45" s="1021" t="s">
        <v>103</v>
      </c>
      <c r="C45" s="808"/>
      <c r="D45" s="271"/>
      <c r="E45" s="634"/>
      <c r="F45" s="692"/>
      <c r="G45" s="693"/>
      <c r="H45" s="693"/>
      <c r="I45" s="694"/>
      <c r="J45" s="688"/>
      <c r="K45" s="271"/>
      <c r="L45" s="271"/>
      <c r="M45" s="1015" t="s">
        <v>762</v>
      </c>
      <c r="N45" s="1016"/>
      <c r="O45" s="533"/>
      <c r="P45" s="516">
        <f>O45/O43*100</f>
        <v>0</v>
      </c>
      <c r="Q45" s="271"/>
    </row>
    <row r="46" spans="1:20" ht="13.5" customHeight="1" thickBot="1" x14ac:dyDescent="0.3">
      <c r="A46" s="271"/>
      <c r="B46" s="796">
        <v>99</v>
      </c>
      <c r="C46" s="797"/>
      <c r="D46" s="271"/>
      <c r="E46" s="634" t="s">
        <v>768</v>
      </c>
      <c r="F46" s="681" t="s">
        <v>936</v>
      </c>
      <c r="G46" s="682"/>
      <c r="H46" s="682"/>
      <c r="I46" s="683"/>
      <c r="J46" s="687">
        <v>0.25</v>
      </c>
      <c r="K46" s="271"/>
      <c r="L46" s="271"/>
      <c r="M46" s="1015" t="s">
        <v>763</v>
      </c>
      <c r="N46" s="1016"/>
      <c r="O46" s="1015">
        <f>O44+P45</f>
        <v>2.25</v>
      </c>
      <c r="P46" s="1016"/>
      <c r="Q46" s="271"/>
    </row>
    <row r="47" spans="1:20" ht="13.5" customHeight="1" thickBot="1" x14ac:dyDescent="0.3">
      <c r="A47" s="271"/>
      <c r="B47" s="1004" t="s">
        <v>104</v>
      </c>
      <c r="C47" s="1005"/>
      <c r="D47" s="271"/>
      <c r="E47" s="634"/>
      <c r="F47" s="684"/>
      <c r="G47" s="685"/>
      <c r="H47" s="685"/>
      <c r="I47" s="686"/>
      <c r="J47" s="688"/>
      <c r="K47" s="271"/>
      <c r="L47" s="271"/>
      <c r="M47" s="1017" t="s">
        <v>764</v>
      </c>
      <c r="N47" s="1018"/>
      <c r="O47" s="1019" t="e">
        <f>P40-O46</f>
        <v>#N/A</v>
      </c>
      <c r="P47" s="1020"/>
      <c r="Q47" s="271"/>
    </row>
    <row r="48" spans="1:20" ht="15.75" thickBot="1" x14ac:dyDescent="0.3">
      <c r="A48" s="271"/>
      <c r="B48" s="796" t="s">
        <v>899</v>
      </c>
      <c r="C48" s="797"/>
      <c r="D48" s="271"/>
      <c r="E48" s="971" t="s">
        <v>115</v>
      </c>
      <c r="F48" s="798"/>
      <c r="G48" s="798"/>
      <c r="H48" s="798"/>
      <c r="I48" s="798"/>
      <c r="J48" s="798"/>
      <c r="K48" s="271"/>
      <c r="L48" s="271"/>
      <c r="M48" s="998" t="s">
        <v>937</v>
      </c>
      <c r="N48" s="999"/>
      <c r="O48" s="999"/>
      <c r="P48" s="1000"/>
      <c r="Q48" s="271"/>
    </row>
    <row r="49" spans="1:21" ht="15.75" thickBot="1" x14ac:dyDescent="0.3">
      <c r="A49" s="271"/>
      <c r="B49" s="1004" t="s">
        <v>153</v>
      </c>
      <c r="C49" s="1005"/>
      <c r="D49" s="271"/>
      <c r="E49" s="675" t="s">
        <v>120</v>
      </c>
      <c r="F49" s="676"/>
      <c r="G49" s="676"/>
      <c r="H49" s="676"/>
      <c r="I49" s="676"/>
      <c r="J49" s="677"/>
      <c r="K49" s="271"/>
      <c r="L49" s="271"/>
      <c r="M49" s="1001"/>
      <c r="N49" s="1002"/>
      <c r="O49" s="1002"/>
      <c r="P49" s="1003"/>
      <c r="Q49" s="271"/>
    </row>
    <row r="50" spans="1:21" ht="15.75" thickBot="1" x14ac:dyDescent="0.3">
      <c r="A50" s="271"/>
      <c r="B50" s="1006" t="s">
        <v>156</v>
      </c>
      <c r="C50" s="1007"/>
      <c r="D50" s="271"/>
      <c r="E50" s="675"/>
      <c r="F50" s="676"/>
      <c r="G50" s="676"/>
      <c r="H50" s="676"/>
      <c r="I50" s="676"/>
      <c r="J50" s="677"/>
      <c r="K50" s="271"/>
      <c r="L50" s="271"/>
      <c r="M50" s="582"/>
      <c r="N50" s="583"/>
      <c r="O50" s="583"/>
      <c r="P50" s="583"/>
      <c r="Q50" s="271"/>
    </row>
    <row r="51" spans="1:21" ht="13.5" customHeight="1" thickBot="1" x14ac:dyDescent="0.3">
      <c r="A51" s="271"/>
      <c r="B51" s="1011"/>
      <c r="C51" s="1012"/>
      <c r="D51" s="271"/>
      <c r="E51" s="675"/>
      <c r="F51" s="676"/>
      <c r="G51" s="676"/>
      <c r="H51" s="676"/>
      <c r="I51" s="676"/>
      <c r="J51" s="677"/>
      <c r="K51" s="271"/>
      <c r="L51" s="271"/>
      <c r="M51" s="1008" t="s">
        <v>938</v>
      </c>
      <c r="N51" s="1009"/>
      <c r="O51" s="1009"/>
      <c r="P51" s="1010"/>
      <c r="Q51" s="271"/>
    </row>
    <row r="52" spans="1:21" x14ac:dyDescent="0.25">
      <c r="A52" s="271"/>
      <c r="B52" s="1013"/>
      <c r="C52" s="1014"/>
      <c r="D52" s="271"/>
      <c r="E52" s="675"/>
      <c r="F52" s="676"/>
      <c r="G52" s="676"/>
      <c r="H52" s="676"/>
      <c r="I52" s="676"/>
      <c r="J52" s="677"/>
      <c r="K52" s="271"/>
      <c r="L52" s="271"/>
      <c r="M52" s="580"/>
      <c r="N52" s="581"/>
      <c r="O52" s="581"/>
      <c r="P52" s="581"/>
      <c r="Q52" s="271"/>
    </row>
    <row r="53" spans="1:21" ht="15.75" customHeight="1" x14ac:dyDescent="0.25">
      <c r="A53" s="271"/>
      <c r="B53" s="1013"/>
      <c r="C53" s="1014"/>
      <c r="D53" s="271"/>
      <c r="E53" s="675"/>
      <c r="F53" s="676"/>
      <c r="G53" s="676"/>
      <c r="H53" s="676"/>
      <c r="I53" s="676"/>
      <c r="J53" s="677"/>
      <c r="K53" s="271"/>
      <c r="L53" s="271"/>
      <c r="M53" s="258"/>
      <c r="N53" s="254"/>
      <c r="O53" s="254"/>
      <c r="P53" s="254"/>
      <c r="Q53" s="271"/>
      <c r="R53" s="515"/>
      <c r="S53" s="515"/>
      <c r="T53" s="515"/>
      <c r="U53" s="515"/>
    </row>
    <row r="54" spans="1:21" ht="15" customHeight="1" x14ac:dyDescent="0.25">
      <c r="A54" s="271"/>
      <c r="B54" s="1013"/>
      <c r="C54" s="1014"/>
      <c r="D54" s="271"/>
      <c r="E54" s="675"/>
      <c r="F54" s="676"/>
      <c r="G54" s="676"/>
      <c r="H54" s="676"/>
      <c r="I54" s="676"/>
      <c r="J54" s="677"/>
      <c r="K54" s="271"/>
      <c r="L54" s="271"/>
      <c r="M54" s="258"/>
      <c r="N54" s="254"/>
      <c r="O54" s="254"/>
      <c r="P54" s="254"/>
      <c r="Q54" s="271"/>
    </row>
    <row r="55" spans="1:21" ht="15.75" thickBot="1" x14ac:dyDescent="0.3">
      <c r="A55" s="271"/>
      <c r="B55" s="1013"/>
      <c r="C55" s="1014"/>
      <c r="D55" s="271"/>
      <c r="E55" s="678"/>
      <c r="F55" s="679"/>
      <c r="G55" s="679"/>
      <c r="H55" s="679"/>
      <c r="I55" s="679"/>
      <c r="J55" s="680"/>
      <c r="K55" s="271"/>
      <c r="L55" s="271"/>
      <c r="M55" s="258"/>
      <c r="N55" s="254"/>
      <c r="O55" s="254"/>
      <c r="P55" s="254"/>
      <c r="Q55" s="271"/>
    </row>
    <row r="56" spans="1:21" x14ac:dyDescent="0.25">
      <c r="A56" s="271"/>
      <c r="B56" s="1013"/>
      <c r="C56" s="1014"/>
      <c r="D56" s="271"/>
      <c r="E56" s="411"/>
      <c r="F56" s="411"/>
      <c r="G56" s="411"/>
      <c r="H56" s="411"/>
      <c r="I56" s="411"/>
      <c r="J56" s="411"/>
      <c r="K56" s="271"/>
      <c r="L56" s="271"/>
      <c r="M56" s="258"/>
      <c r="N56" s="254"/>
      <c r="O56" s="254"/>
      <c r="P56" s="254"/>
      <c r="Q56" s="271"/>
    </row>
    <row r="57" spans="1:21" x14ac:dyDescent="0.25">
      <c r="A57" s="271"/>
      <c r="B57" s="1013"/>
      <c r="C57" s="1014"/>
      <c r="D57" s="271"/>
      <c r="E57" s="411"/>
      <c r="F57" s="411"/>
      <c r="G57" s="411"/>
      <c r="H57" s="411"/>
      <c r="I57" s="411"/>
      <c r="J57" s="411"/>
      <c r="K57" s="271"/>
      <c r="L57" s="271"/>
      <c r="M57" s="258"/>
      <c r="N57" s="254"/>
      <c r="O57" s="254"/>
      <c r="P57" s="254"/>
      <c r="Q57" s="271"/>
    </row>
    <row r="58" spans="1:21" x14ac:dyDescent="0.25">
      <c r="B58" s="58"/>
      <c r="C58" s="58"/>
      <c r="D58" s="3"/>
      <c r="K58" s="58"/>
    </row>
    <row r="59" spans="1:21" x14ac:dyDescent="0.25">
      <c r="B59" s="53"/>
      <c r="C59" s="54"/>
      <c r="E59" s="3"/>
      <c r="F59" s="51"/>
      <c r="G59" s="52"/>
      <c r="H59" s="52"/>
      <c r="I59" s="52"/>
      <c r="J59" s="52"/>
    </row>
    <row r="60" spans="1:21" ht="18.75" customHeight="1" x14ac:dyDescent="0.25">
      <c r="B60" s="53"/>
      <c r="C60" s="54"/>
      <c r="D60" s="3"/>
      <c r="E60" s="3"/>
      <c r="F60" s="3"/>
      <c r="G60" s="51"/>
      <c r="H60" s="52"/>
      <c r="I60" s="52"/>
      <c r="J60" s="52"/>
    </row>
    <row r="61" spans="1:21" x14ac:dyDescent="0.25">
      <c r="B61" s="53"/>
      <c r="C61" s="54"/>
      <c r="D61" s="3"/>
      <c r="G61" s="52"/>
      <c r="H61" s="52"/>
      <c r="I61" s="52"/>
      <c r="J61" s="52"/>
    </row>
    <row r="62" spans="1:21" ht="14.25" customHeight="1" x14ac:dyDescent="0.25">
      <c r="B62" s="53"/>
      <c r="C62" s="54"/>
      <c r="D62" s="3"/>
      <c r="G62" s="52"/>
      <c r="H62" s="52"/>
      <c r="I62" s="52"/>
      <c r="J62" s="52"/>
    </row>
    <row r="63" spans="1:21" ht="15" customHeight="1" x14ac:dyDescent="0.25">
      <c r="B63" s="53"/>
      <c r="C63" s="54"/>
      <c r="D63" s="3"/>
      <c r="G63" s="52"/>
      <c r="H63" s="52"/>
      <c r="I63" s="52"/>
      <c r="J63" s="52"/>
    </row>
    <row r="64" spans="1:21" ht="15" customHeight="1" x14ac:dyDescent="0.25">
      <c r="B64" s="53"/>
      <c r="C64" s="60"/>
      <c r="D64" s="3"/>
      <c r="G64" s="52"/>
      <c r="H64" s="52"/>
      <c r="I64" s="52"/>
      <c r="J64" s="52"/>
    </row>
    <row r="65" spans="2:10" ht="14.25" customHeight="1" x14ac:dyDescent="0.25">
      <c r="B65" s="59"/>
      <c r="C65" s="59"/>
      <c r="D65" s="3"/>
      <c r="G65" s="52"/>
      <c r="H65" s="52"/>
      <c r="I65" s="52"/>
      <c r="J65" s="52"/>
    </row>
    <row r="66" spans="2:10" ht="14.25" customHeight="1" x14ac:dyDescent="0.25">
      <c r="B66" s="53"/>
      <c r="C66" s="54"/>
      <c r="D66" s="3"/>
      <c r="G66" s="52"/>
      <c r="H66" s="52"/>
      <c r="I66" s="52"/>
      <c r="J66" s="52"/>
    </row>
    <row r="67" spans="2:10" ht="14.25" customHeight="1" x14ac:dyDescent="0.25">
      <c r="B67" s="3"/>
      <c r="C67" s="3"/>
      <c r="D67" s="3"/>
      <c r="G67" s="52"/>
      <c r="H67" s="52"/>
      <c r="I67" s="52"/>
      <c r="J67" s="52"/>
    </row>
    <row r="68" spans="2:10" ht="14.25" customHeight="1" x14ac:dyDescent="0.25">
      <c r="B68" s="3"/>
      <c r="C68" s="3"/>
      <c r="D68" s="3"/>
      <c r="G68" s="52"/>
      <c r="H68" s="52"/>
      <c r="I68" s="52"/>
      <c r="J68" s="52"/>
    </row>
    <row r="69" spans="2:10" ht="14.25" customHeight="1" x14ac:dyDescent="0.25">
      <c r="B69" s="3"/>
      <c r="C69" s="3"/>
      <c r="D69" s="3"/>
      <c r="G69" s="52"/>
      <c r="H69" s="52"/>
      <c r="I69" s="52"/>
      <c r="J69" s="52"/>
    </row>
    <row r="70" spans="2:10" ht="14.25" customHeight="1" x14ac:dyDescent="0.25">
      <c r="B70" s="3"/>
      <c r="C70" s="3"/>
      <c r="D70" s="3"/>
      <c r="G70" s="52"/>
      <c r="H70" s="52"/>
      <c r="I70" s="52"/>
      <c r="J70" s="52"/>
    </row>
    <row r="71" spans="2:10" ht="14.25" customHeight="1" x14ac:dyDescent="0.25">
      <c r="B71" s="3"/>
      <c r="C71" s="3"/>
      <c r="D71" s="3"/>
      <c r="G71" s="52"/>
      <c r="H71" s="52"/>
      <c r="I71" s="52"/>
      <c r="J71" s="52"/>
    </row>
    <row r="72" spans="2:10" ht="15" customHeight="1" x14ac:dyDescent="0.25">
      <c r="B72" s="3"/>
      <c r="C72" s="3"/>
      <c r="D72" s="3"/>
      <c r="G72" s="52"/>
      <c r="H72" s="52"/>
      <c r="I72" s="52"/>
      <c r="J72" s="52"/>
    </row>
    <row r="73" spans="2:10" x14ac:dyDescent="0.25">
      <c r="B73" s="3"/>
      <c r="C73" s="3"/>
      <c r="D73" s="3"/>
      <c r="G73" s="52"/>
      <c r="H73" s="52"/>
      <c r="I73" s="52"/>
      <c r="J73" s="52"/>
    </row>
    <row r="74" spans="2:10" x14ac:dyDescent="0.25">
      <c r="B74" s="3"/>
      <c r="C74" s="3"/>
      <c r="D74" s="3"/>
      <c r="G74" s="52"/>
      <c r="H74" s="52"/>
      <c r="I74" s="52"/>
      <c r="J74" s="52"/>
    </row>
    <row r="75" spans="2:10" x14ac:dyDescent="0.25">
      <c r="B75" s="3"/>
      <c r="C75" s="3"/>
      <c r="D75" s="3"/>
      <c r="G75" s="52"/>
      <c r="H75" s="52"/>
      <c r="I75" s="52"/>
      <c r="J75" s="52"/>
    </row>
    <row r="76" spans="2:10" x14ac:dyDescent="0.25">
      <c r="D76" s="3"/>
      <c r="G76" s="52"/>
      <c r="H76" s="52"/>
      <c r="I76" s="52"/>
      <c r="J76" s="52"/>
    </row>
    <row r="77" spans="2:10" x14ac:dyDescent="0.25">
      <c r="D77" s="3"/>
      <c r="G77" s="52"/>
      <c r="H77" s="52"/>
      <c r="I77" s="52"/>
      <c r="J77" s="52"/>
    </row>
    <row r="78" spans="2:10" x14ac:dyDescent="0.25">
      <c r="D78" s="3"/>
      <c r="G78" s="52"/>
      <c r="H78" s="52"/>
      <c r="I78" s="52"/>
      <c r="J78" s="52"/>
    </row>
    <row r="79" spans="2:10" x14ac:dyDescent="0.25">
      <c r="D79" s="3"/>
      <c r="G79" s="52"/>
      <c r="H79" s="52"/>
      <c r="I79" s="52"/>
      <c r="J79" s="52"/>
    </row>
    <row r="80" spans="2:10" x14ac:dyDescent="0.25">
      <c r="D80" s="3"/>
      <c r="G80" s="52"/>
      <c r="H80" s="52"/>
      <c r="I80" s="52"/>
      <c r="J80" s="52"/>
    </row>
    <row r="81" spans="4:10" x14ac:dyDescent="0.25">
      <c r="D81" s="3"/>
      <c r="G81" s="52"/>
      <c r="H81" s="52"/>
      <c r="I81" s="52"/>
      <c r="J81" s="52"/>
    </row>
    <row r="82" spans="4:10" x14ac:dyDescent="0.25">
      <c r="D82" s="3"/>
      <c r="G82" s="52"/>
      <c r="H82" s="52"/>
      <c r="I82" s="52"/>
      <c r="J82" s="52"/>
    </row>
    <row r="83" spans="4:10" x14ac:dyDescent="0.25">
      <c r="D83" s="3"/>
      <c r="G83" s="52"/>
      <c r="H83" s="52"/>
      <c r="I83" s="52"/>
      <c r="J83" s="52"/>
    </row>
    <row r="84" spans="4:10" x14ac:dyDescent="0.25">
      <c r="G84" s="52"/>
      <c r="H84" s="52"/>
      <c r="I84" s="52"/>
      <c r="J84" s="52"/>
    </row>
    <row r="85" spans="4:10" x14ac:dyDescent="0.25">
      <c r="G85" s="52"/>
      <c r="H85" s="52"/>
      <c r="I85" s="52"/>
      <c r="J85" s="52"/>
    </row>
    <row r="86" spans="4:10" x14ac:dyDescent="0.25">
      <c r="G86" s="52"/>
      <c r="H86" s="52"/>
      <c r="I86" s="52"/>
      <c r="J86" s="52"/>
    </row>
    <row r="87" spans="4:10" ht="18" customHeight="1" x14ac:dyDescent="0.25">
      <c r="G87" s="52"/>
      <c r="H87" s="52"/>
      <c r="I87" s="52"/>
      <c r="J87" s="52"/>
    </row>
    <row r="88" spans="4:10" ht="15.75" customHeight="1" x14ac:dyDescent="0.25">
      <c r="G88" s="52"/>
      <c r="H88" s="52"/>
      <c r="I88" s="52"/>
      <c r="J88" s="52"/>
    </row>
    <row r="89" spans="4:10" ht="16.5" customHeight="1" x14ac:dyDescent="0.25">
      <c r="G89" s="52"/>
      <c r="H89" s="52"/>
      <c r="I89" s="52"/>
      <c r="J89" s="52"/>
    </row>
    <row r="90" spans="4:10" x14ac:dyDescent="0.25">
      <c r="G90" s="52"/>
      <c r="H90" s="52"/>
      <c r="I90" s="52"/>
      <c r="J90" s="52"/>
    </row>
    <row r="91" spans="4:10" ht="15.75" customHeight="1" x14ac:dyDescent="0.25">
      <c r="G91" s="52"/>
      <c r="H91" s="52"/>
      <c r="I91" s="52"/>
      <c r="J91" s="52"/>
    </row>
    <row r="92" spans="4:10" x14ac:dyDescent="0.25">
      <c r="G92" s="52"/>
      <c r="H92" s="52"/>
      <c r="I92" s="52"/>
      <c r="J92" s="52"/>
    </row>
    <row r="93" spans="4:10" ht="15" customHeight="1" x14ac:dyDescent="0.25">
      <c r="G93" s="52"/>
      <c r="H93" s="52"/>
      <c r="I93" s="52"/>
      <c r="J93" s="52"/>
    </row>
    <row r="94" spans="4:10" ht="15.75" customHeight="1" x14ac:dyDescent="0.25">
      <c r="G94" s="52"/>
      <c r="H94" s="52"/>
      <c r="I94" s="52"/>
      <c r="J94" s="52"/>
    </row>
    <row r="95" spans="4:10" ht="32.25" customHeight="1" x14ac:dyDescent="0.25">
      <c r="G95" s="52"/>
      <c r="H95" s="52"/>
      <c r="I95" s="52"/>
      <c r="J95" s="52"/>
    </row>
    <row r="96" spans="4:10" x14ac:dyDescent="0.25">
      <c r="G96" s="52"/>
      <c r="H96" s="52"/>
      <c r="I96" s="52"/>
      <c r="J96" s="52"/>
    </row>
    <row r="97" spans="7:10" ht="18" customHeight="1" x14ac:dyDescent="0.25">
      <c r="G97" s="52"/>
      <c r="H97" s="52"/>
      <c r="I97" s="52"/>
      <c r="J97" s="52"/>
    </row>
    <row r="98" spans="7:10" ht="15" customHeight="1" x14ac:dyDescent="0.25">
      <c r="G98" s="52"/>
      <c r="H98" s="52"/>
      <c r="I98" s="52"/>
      <c r="J98" s="52"/>
    </row>
    <row r="99" spans="7:10" ht="15" customHeight="1" x14ac:dyDescent="0.25">
      <c r="G99" s="52"/>
      <c r="H99" s="52"/>
      <c r="I99" s="52"/>
      <c r="J99" s="52"/>
    </row>
    <row r="100" spans="7:10" ht="15" customHeight="1" x14ac:dyDescent="0.25">
      <c r="G100" s="52"/>
      <c r="H100" s="52"/>
      <c r="I100" s="52"/>
      <c r="J100" s="52"/>
    </row>
    <row r="101" spans="7:10" ht="15" customHeight="1" x14ac:dyDescent="0.25">
      <c r="G101" s="52"/>
      <c r="H101" s="52"/>
      <c r="I101" s="52"/>
      <c r="J101" s="52"/>
    </row>
    <row r="102" spans="7:10" ht="15" customHeight="1" x14ac:dyDescent="0.25">
      <c r="G102" s="52"/>
      <c r="H102" s="52"/>
      <c r="I102" s="52"/>
      <c r="J102" s="52"/>
    </row>
    <row r="103" spans="7:10" ht="15" customHeight="1" x14ac:dyDescent="0.25">
      <c r="G103" s="52"/>
      <c r="H103" s="52"/>
      <c r="I103" s="52"/>
      <c r="J103" s="52"/>
    </row>
    <row r="104" spans="7:10" ht="15" customHeight="1" x14ac:dyDescent="0.25">
      <c r="G104" s="52"/>
      <c r="H104" s="52"/>
      <c r="I104" s="52"/>
      <c r="J104" s="52"/>
    </row>
    <row r="105" spans="7:10" x14ac:dyDescent="0.25">
      <c r="G105" s="52"/>
      <c r="H105" s="52"/>
      <c r="I105" s="52"/>
      <c r="J105" s="52"/>
    </row>
    <row r="106" spans="7:10" ht="15.75" customHeight="1" x14ac:dyDescent="0.25">
      <c r="G106" s="52"/>
      <c r="H106" s="52"/>
      <c r="I106" s="52"/>
      <c r="J106" s="52"/>
    </row>
    <row r="107" spans="7:10" ht="15.75" customHeight="1" x14ac:dyDescent="0.25">
      <c r="G107" s="52"/>
      <c r="H107" s="52"/>
      <c r="I107" s="52"/>
      <c r="J107" s="52"/>
    </row>
    <row r="108" spans="7:10" ht="41.25" customHeight="1" x14ac:dyDescent="0.25">
      <c r="G108" s="52"/>
      <c r="H108" s="52"/>
      <c r="I108" s="52"/>
      <c r="J108" s="52"/>
    </row>
    <row r="109" spans="7:10" ht="15.75" customHeight="1" x14ac:dyDescent="0.25">
      <c r="G109" s="52"/>
      <c r="H109" s="52"/>
      <c r="I109" s="52"/>
      <c r="J109" s="52"/>
    </row>
    <row r="110" spans="7:10" ht="15.75" customHeight="1" x14ac:dyDescent="0.25">
      <c r="G110" s="52"/>
      <c r="H110" s="52"/>
      <c r="I110" s="52"/>
      <c r="J110" s="52"/>
    </row>
    <row r="111" spans="7:10" ht="47.25" customHeight="1" x14ac:dyDescent="0.25">
      <c r="G111" s="52"/>
      <c r="H111" s="52"/>
      <c r="I111" s="52"/>
      <c r="J111" s="52"/>
    </row>
    <row r="112" spans="7:10" x14ac:dyDescent="0.25">
      <c r="G112" s="52"/>
      <c r="H112" s="52"/>
      <c r="I112" s="52"/>
      <c r="J112" s="52"/>
    </row>
    <row r="113" spans="7:10" ht="15.75" customHeight="1" x14ac:dyDescent="0.25">
      <c r="G113" s="52"/>
      <c r="H113" s="52"/>
      <c r="I113" s="52"/>
      <c r="J113" s="52"/>
    </row>
    <row r="114" spans="7:10" ht="15.75" customHeight="1" x14ac:dyDescent="0.25">
      <c r="G114" s="52"/>
      <c r="H114" s="52"/>
      <c r="I114" s="52"/>
      <c r="J114" s="52"/>
    </row>
    <row r="115" spans="7:10" ht="15.75" customHeight="1" x14ac:dyDescent="0.25">
      <c r="G115" s="52"/>
      <c r="H115" s="52"/>
      <c r="I115" s="52"/>
      <c r="J115" s="52"/>
    </row>
    <row r="116" spans="7:10" ht="31.5" customHeight="1" x14ac:dyDescent="0.25">
      <c r="G116" s="52"/>
      <c r="H116" s="52"/>
      <c r="I116" s="52"/>
      <c r="J116" s="52"/>
    </row>
    <row r="117" spans="7:10" ht="15.75" customHeight="1" x14ac:dyDescent="0.25">
      <c r="G117" s="52"/>
      <c r="H117" s="52"/>
      <c r="I117" s="52"/>
      <c r="J117" s="52"/>
    </row>
    <row r="118" spans="7:10" ht="15" customHeight="1" x14ac:dyDescent="0.25">
      <c r="G118" s="52"/>
      <c r="H118" s="52"/>
      <c r="I118" s="52"/>
      <c r="J118" s="52"/>
    </row>
    <row r="119" spans="7:10" ht="15" customHeight="1" x14ac:dyDescent="0.25">
      <c r="G119" s="52"/>
      <c r="H119" s="52"/>
      <c r="I119" s="52"/>
      <c r="J119" s="52"/>
    </row>
    <row r="120" spans="7:10" ht="15" customHeight="1" x14ac:dyDescent="0.25">
      <c r="G120" s="52"/>
      <c r="H120" s="52"/>
      <c r="I120" s="52"/>
      <c r="J120" s="52"/>
    </row>
    <row r="121" spans="7:10" ht="15.75" customHeight="1" x14ac:dyDescent="0.25">
      <c r="G121" s="52"/>
      <c r="H121" s="52"/>
      <c r="I121" s="52"/>
      <c r="J121" s="52"/>
    </row>
    <row r="122" spans="7:10" x14ac:dyDescent="0.25">
      <c r="G122" s="52"/>
      <c r="H122" s="52"/>
      <c r="I122" s="52"/>
      <c r="J122" s="52"/>
    </row>
    <row r="123" spans="7:10" ht="15.75" customHeight="1" x14ac:dyDescent="0.25">
      <c r="G123" s="52"/>
      <c r="H123" s="52"/>
      <c r="I123" s="52"/>
      <c r="J123" s="52"/>
    </row>
    <row r="124" spans="7:10" x14ac:dyDescent="0.25">
      <c r="G124" s="52"/>
      <c r="H124" s="52"/>
      <c r="I124" s="52"/>
      <c r="J124" s="52"/>
    </row>
    <row r="125" spans="7:10" x14ac:dyDescent="0.25">
      <c r="G125" s="52"/>
      <c r="H125" s="52"/>
      <c r="I125" s="52"/>
      <c r="J125" s="52"/>
    </row>
    <row r="126" spans="7:10" x14ac:dyDescent="0.25">
      <c r="G126" s="52"/>
      <c r="H126" s="52"/>
      <c r="I126" s="52"/>
      <c r="J126" s="52"/>
    </row>
    <row r="127" spans="7:10" ht="15.75" customHeight="1" x14ac:dyDescent="0.25">
      <c r="G127" s="52"/>
      <c r="H127" s="52"/>
      <c r="I127" s="52"/>
      <c r="J127" s="52"/>
    </row>
    <row r="128" spans="7:10" ht="15.75" customHeight="1" x14ac:dyDescent="0.25">
      <c r="G128" s="52"/>
      <c r="H128" s="52"/>
      <c r="I128" s="52"/>
      <c r="J128" s="52"/>
    </row>
    <row r="129" spans="7:10" ht="15.75" customHeight="1" x14ac:dyDescent="0.25">
      <c r="G129" s="52"/>
      <c r="H129" s="52"/>
      <c r="I129" s="52"/>
      <c r="J129" s="52"/>
    </row>
    <row r="130" spans="7:10" x14ac:dyDescent="0.25">
      <c r="G130" s="52"/>
      <c r="H130" s="52"/>
      <c r="I130" s="52"/>
      <c r="J130" s="52"/>
    </row>
    <row r="131" spans="7:10" ht="15.75" customHeight="1" x14ac:dyDescent="0.25">
      <c r="G131" s="52"/>
      <c r="H131" s="52"/>
      <c r="I131" s="52"/>
      <c r="J131" s="52"/>
    </row>
    <row r="132" spans="7:10" x14ac:dyDescent="0.25">
      <c r="G132" s="52"/>
      <c r="H132" s="52"/>
      <c r="I132" s="52"/>
      <c r="J132" s="52"/>
    </row>
    <row r="133" spans="7:10" x14ac:dyDescent="0.25">
      <c r="G133" s="52"/>
      <c r="H133" s="52"/>
      <c r="I133" s="52"/>
      <c r="J133" s="52"/>
    </row>
    <row r="134" spans="7:10" x14ac:dyDescent="0.25">
      <c r="G134" s="52"/>
      <c r="H134" s="52"/>
      <c r="I134" s="52"/>
      <c r="J134" s="52"/>
    </row>
    <row r="135" spans="7:10" ht="15.75" customHeight="1" x14ac:dyDescent="0.25">
      <c r="G135" s="52"/>
      <c r="H135" s="52"/>
      <c r="I135" s="52"/>
      <c r="J135" s="52"/>
    </row>
    <row r="136" spans="7:10" x14ac:dyDescent="0.25">
      <c r="G136" s="52"/>
      <c r="H136" s="52"/>
      <c r="I136" s="52"/>
      <c r="J136" s="52"/>
    </row>
    <row r="137" spans="7:10" ht="15.75" customHeight="1" x14ac:dyDescent="0.25">
      <c r="G137" s="52"/>
      <c r="H137" s="52"/>
      <c r="I137" s="52"/>
      <c r="J137" s="52"/>
    </row>
    <row r="138" spans="7:10" ht="15.75" customHeight="1" x14ac:dyDescent="0.25">
      <c r="G138" s="52"/>
      <c r="H138" s="52"/>
      <c r="I138" s="52"/>
      <c r="J138" s="52"/>
    </row>
    <row r="139" spans="7:10" x14ac:dyDescent="0.25">
      <c r="G139" s="52"/>
      <c r="H139" s="52"/>
      <c r="I139" s="52"/>
      <c r="J139" s="52"/>
    </row>
    <row r="140" spans="7:10" x14ac:dyDescent="0.25">
      <c r="G140" s="52"/>
      <c r="H140" s="52"/>
      <c r="I140" s="52"/>
      <c r="J140" s="52"/>
    </row>
    <row r="141" spans="7:10" ht="15.75" customHeight="1" x14ac:dyDescent="0.25">
      <c r="G141" s="52"/>
      <c r="H141" s="52"/>
      <c r="I141" s="52"/>
      <c r="J141" s="52"/>
    </row>
    <row r="142" spans="7:10" ht="15.75" customHeight="1" x14ac:dyDescent="0.25">
      <c r="G142" s="52"/>
      <c r="H142" s="52"/>
      <c r="I142" s="52"/>
      <c r="J142" s="52"/>
    </row>
    <row r="143" spans="7:10" x14ac:dyDescent="0.25">
      <c r="G143" s="52"/>
      <c r="H143" s="52"/>
      <c r="I143" s="52"/>
      <c r="J143" s="52"/>
    </row>
    <row r="144" spans="7:10" ht="16.5" customHeight="1" x14ac:dyDescent="0.25">
      <c r="G144" s="52"/>
      <c r="H144" s="52"/>
      <c r="I144" s="52"/>
      <c r="J144" s="52"/>
    </row>
    <row r="145" spans="7:10" x14ac:dyDescent="0.25">
      <c r="G145" s="52"/>
      <c r="H145" s="52"/>
      <c r="I145" s="52"/>
      <c r="J145" s="52"/>
    </row>
    <row r="146" spans="7:10" ht="15.75" customHeight="1" x14ac:dyDescent="0.25">
      <c r="G146" s="52"/>
      <c r="H146" s="52"/>
      <c r="I146" s="52"/>
      <c r="J146" s="52"/>
    </row>
    <row r="147" spans="7:10" x14ac:dyDescent="0.25">
      <c r="G147" s="52"/>
      <c r="H147" s="52"/>
      <c r="I147" s="52"/>
      <c r="J147" s="52"/>
    </row>
    <row r="148" spans="7:10" x14ac:dyDescent="0.25">
      <c r="G148" s="52"/>
      <c r="H148" s="52"/>
      <c r="I148" s="52"/>
      <c r="J148" s="52"/>
    </row>
    <row r="149" spans="7:10" x14ac:dyDescent="0.25">
      <c r="G149" s="52"/>
      <c r="H149" s="52"/>
      <c r="I149" s="52"/>
      <c r="J149" s="52"/>
    </row>
    <row r="150" spans="7:10" ht="15" customHeight="1" x14ac:dyDescent="0.25">
      <c r="G150" s="52"/>
      <c r="H150" s="52"/>
      <c r="I150" s="52"/>
      <c r="J150" s="52"/>
    </row>
    <row r="151" spans="7:10" ht="15" customHeight="1" x14ac:dyDescent="0.25">
      <c r="G151" s="52"/>
      <c r="H151" s="52"/>
      <c r="I151" s="52"/>
      <c r="J151" s="52"/>
    </row>
    <row r="186" spans="15:15" x14ac:dyDescent="0.25">
      <c r="O186" s="1" t="s">
        <v>67</v>
      </c>
    </row>
  </sheetData>
  <sheetProtection algorithmName="SHA-512" hashValue="zvZ69atRC5aIO+x/ulhSngFCJVRwvvaP/3RNX87+BkyqBcxz2mNBWDaoh6eGldgnir6i7ywV3DnB8hPoVisF7w==" saltValue="6d45YsLpAQZvAvCGxK4EXw==" spinCount="100000" sheet="1" objects="1" scenarios="1"/>
  <mergeCells count="99">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9:J19"/>
    <mergeCell ref="M19:N19"/>
    <mergeCell ref="E13:F13"/>
    <mergeCell ref="M13:N13"/>
    <mergeCell ref="E14:F14"/>
    <mergeCell ref="M14:N14"/>
    <mergeCell ref="E15:F15"/>
    <mergeCell ref="M15:N15"/>
    <mergeCell ref="E16:F16"/>
    <mergeCell ref="M16:N16"/>
    <mergeCell ref="E17:J17"/>
    <mergeCell ref="M17:N17"/>
    <mergeCell ref="M18:N18"/>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41:J41"/>
    <mergeCell ref="M41:P41"/>
    <mergeCell ref="E35:J35"/>
    <mergeCell ref="M35:N35"/>
    <mergeCell ref="E36:F36"/>
    <mergeCell ref="M36:O36"/>
    <mergeCell ref="E37:F37"/>
    <mergeCell ref="M37:O37"/>
    <mergeCell ref="E38:J38"/>
    <mergeCell ref="M38:O38"/>
    <mergeCell ref="M39:O39"/>
    <mergeCell ref="E40:J40"/>
    <mergeCell ref="M40:O40"/>
    <mergeCell ref="E42:E43"/>
    <mergeCell ref="F42:I43"/>
    <mergeCell ref="J42:J43"/>
    <mergeCell ref="M42:P42"/>
    <mergeCell ref="M43:N43"/>
    <mergeCell ref="O43:P43"/>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 ref="B48:C48"/>
    <mergeCell ref="E48:J48"/>
    <mergeCell ref="M48:P49"/>
    <mergeCell ref="B49:C49"/>
    <mergeCell ref="E49:J55"/>
    <mergeCell ref="B50:C50"/>
    <mergeCell ref="M51:P51"/>
    <mergeCell ref="B51:C57"/>
  </mergeCells>
  <conditionalFormatting sqref="C13:C33">
    <cfRule type="containsErrors" dxfId="30" priority="34">
      <formula>ISERROR(C13)</formula>
    </cfRule>
  </conditionalFormatting>
  <conditionalFormatting sqref="E20:E22">
    <cfRule type="containsText" dxfId="29" priority="27" operator="containsText" text="n/a">
      <formula>NOT(ISERROR(SEARCH("n/a",E20)))</formula>
    </cfRule>
  </conditionalFormatting>
  <conditionalFormatting sqref="G11:J16">
    <cfRule type="containsErrors" dxfId="28" priority="35">
      <formula>ISERROR(G11)</formula>
    </cfRule>
  </conditionalFormatting>
  <conditionalFormatting sqref="G11:J16">
    <cfRule type="containsText" dxfId="27" priority="33" operator="containsText" text="n/a">
      <formula>NOT(ISERROR(SEARCH("n/a",G11)))</formula>
    </cfRule>
  </conditionalFormatting>
  <conditionalFormatting sqref="P10:P35">
    <cfRule type="expression" dxfId="26" priority="26">
      <formula>P10&lt;0</formula>
    </cfRule>
    <cfRule type="containsErrors" dxfId="25" priority="36">
      <formula>ISERROR(P10)</formula>
    </cfRule>
  </conditionalFormatting>
  <conditionalFormatting sqref="E24:E25">
    <cfRule type="containsText" dxfId="24" priority="25" operator="containsText" text="n/a">
      <formula>NOT(ISERROR(SEARCH("n/a",E24)))</formula>
    </cfRule>
  </conditionalFormatting>
  <conditionalFormatting sqref="B8:C8">
    <cfRule type="containsText" dxfId="23" priority="24" operator="containsText" text="n/a">
      <formula>NOT(ISERROR(SEARCH("n/a",B8)))</formula>
    </cfRule>
  </conditionalFormatting>
  <conditionalFormatting sqref="E8:J8">
    <cfRule type="containsText" dxfId="22" priority="23" operator="containsText" text="n/a">
      <formula>NOT(ISERROR(SEARCH("n/a",E8)))</formula>
    </cfRule>
  </conditionalFormatting>
  <conditionalFormatting sqref="M8:P8">
    <cfRule type="containsText" dxfId="21" priority="22" operator="containsText" text="n/a">
      <formula>NOT(ISERROR(SEARCH("n/a",M8)))</formula>
    </cfRule>
  </conditionalFormatting>
  <conditionalFormatting sqref="B10:C10">
    <cfRule type="containsText" dxfId="20" priority="21" operator="containsText" text="n/a">
      <formula>NOT(ISERROR(SEARCH("n/a",B10)))</formula>
    </cfRule>
  </conditionalFormatting>
  <conditionalFormatting sqref="E10 G10:J10">
    <cfRule type="containsText" dxfId="19" priority="20" operator="containsText" text="n/a">
      <formula>NOT(ISERROR(SEARCH("n/a",E10)))</formula>
    </cfRule>
  </conditionalFormatting>
  <conditionalFormatting sqref="M36:M39">
    <cfRule type="containsText" dxfId="18" priority="17" operator="containsText" text="Rate">
      <formula>NOT(ISERROR(SEARCH("Rate",M36)))</formula>
    </cfRule>
    <cfRule type="expression" dxfId="17" priority="18">
      <formula>Output_NetPrice_JM &lt; 99</formula>
    </cfRule>
    <cfRule type="expression" dxfId="16" priority="19">
      <formula>Output_NetPrice_ExpNR &lt; 99</formula>
    </cfRule>
  </conditionalFormatting>
  <conditionalFormatting sqref="P45">
    <cfRule type="containsText" dxfId="15" priority="14" operator="containsText" text="Rate">
      <formula>NOT(ISERROR(SEARCH("Rate",P45)))</formula>
    </cfRule>
    <cfRule type="expression" dxfId="14" priority="15">
      <formula>Output_NetPrice_JM &lt; 99</formula>
    </cfRule>
    <cfRule type="expression" dxfId="13" priority="16">
      <formula>Output_NetPrice_ExpNR &lt; 99</formula>
    </cfRule>
  </conditionalFormatting>
  <conditionalFormatting sqref="B38:C38">
    <cfRule type="containsText" dxfId="12" priority="13" operator="containsText" text="n/a">
      <formula>NOT(ISERROR(SEARCH("n/a",B38)))</formula>
    </cfRule>
  </conditionalFormatting>
  <conditionalFormatting sqref="B41:C41">
    <cfRule type="containsText" dxfId="11" priority="12" operator="containsText" text="n/a">
      <formula>NOT(ISERROR(SEARCH("n/a",B41)))</formula>
    </cfRule>
  </conditionalFormatting>
  <conditionalFormatting sqref="B44:C44">
    <cfRule type="containsText" dxfId="10" priority="11" operator="containsText" text="n/a">
      <formula>NOT(ISERROR(SEARCH("n/a",B44)))</formula>
    </cfRule>
  </conditionalFormatting>
  <conditionalFormatting sqref="B45">
    <cfRule type="containsText" dxfId="9" priority="10" operator="containsText" text="n/a">
      <formula>NOT(ISERROR(SEARCH("n/a",B45)))</formula>
    </cfRule>
  </conditionalFormatting>
  <conditionalFormatting sqref="B47">
    <cfRule type="containsText" dxfId="8" priority="9" operator="containsText" text="n/a">
      <formula>NOT(ISERROR(SEARCH("n/a",B47)))</formula>
    </cfRule>
  </conditionalFormatting>
  <conditionalFormatting sqref="B49">
    <cfRule type="containsText" dxfId="7" priority="8" operator="containsText" text="n/a">
      <formula>NOT(ISERROR(SEARCH("n/a",B49)))</formula>
    </cfRule>
  </conditionalFormatting>
  <conditionalFormatting sqref="O10">
    <cfRule type="containsText" dxfId="6" priority="5" operator="containsText" text="Rate">
      <formula>NOT(ISERROR(SEARCH("Rate",O10)))</formula>
    </cfRule>
    <cfRule type="expression" dxfId="5" priority="6">
      <formula>Output_NetPrice_JM &lt; 99</formula>
    </cfRule>
    <cfRule type="expression" dxfId="4" priority="7">
      <formula>Output_NetPrice_ExpNR &lt; 99</formula>
    </cfRule>
  </conditionalFormatting>
  <conditionalFormatting sqref="A6:A57">
    <cfRule type="containsText" dxfId="3" priority="4" operator="containsText" text="n/a">
      <formula>NOT(ISERROR(SEARCH("n/a",A6)))</formula>
    </cfRule>
  </conditionalFormatting>
  <conditionalFormatting sqref="D6:D57">
    <cfRule type="containsText" dxfId="2" priority="3" operator="containsText" text="n/a">
      <formula>NOT(ISERROR(SEARCH("n/a",D6)))</formula>
    </cfRule>
  </conditionalFormatting>
  <conditionalFormatting sqref="K6:L57">
    <cfRule type="containsText" dxfId="1" priority="2" operator="containsText" text="n/a">
      <formula>NOT(ISERROR(SEARCH("n/a",K6)))</formula>
    </cfRule>
  </conditionalFormatting>
  <conditionalFormatting sqref="Q6:Q57">
    <cfRule type="containsText" dxfId="0" priority="1" operator="containsText" text="n/a">
      <formula>NOT(ISERROR(SEARCH("n/a",Q6)))</formula>
    </cfRule>
  </conditionalFormatting>
  <hyperlinks>
    <hyperlink ref="B50:C50" r:id="rId1" display="Click Here" xr:uid="{F7187ED8-243B-4538-A2AF-14E44F0CC7C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33C44475-AADF-465B-B042-D1D0A8813FB2}">
          <x14:formula1>
            <xm:f>'Feed(CoreFlex)'!$B$141:$B$143</xm:f>
          </x14:formula1>
          <xm:sqref>O34</xm:sqref>
        </x14:dataValidation>
        <x14:dataValidation type="list" allowBlank="1" showInputMessage="1" showErrorMessage="1" xr:uid="{BEF82527-34CA-467D-B826-E9D3E6D12375}">
          <x14:formula1>
            <xm:f>'Feed(CoreFlex)'!$W$2:$W$4</xm:f>
          </x14:formula1>
          <xm:sqref>O16</xm:sqref>
        </x14:dataValidation>
        <x14:dataValidation type="list" allowBlank="1" showInputMessage="1" showErrorMessage="1" xr:uid="{2405DBAD-2B03-447A-853B-3F0286729C47}">
          <x14:formula1>
            <xm:f>'Feed(CoreFlex)'!$V$2:$V$4</xm:f>
          </x14:formula1>
          <xm:sqref>O15</xm:sqref>
        </x14:dataValidation>
        <x14:dataValidation type="list" allowBlank="1" showInputMessage="1" showErrorMessage="1" xr:uid="{31D14FA4-55E6-4C03-88B3-A4721D6EA204}">
          <x14:formula1>
            <xm:f>'Feed(CoreFlex)'!$U$2:$U$4</xm:f>
          </x14:formula1>
          <xm:sqref>O14</xm:sqref>
        </x14:dataValidation>
        <x14:dataValidation type="list" allowBlank="1" showInputMessage="1" showErrorMessage="1" xr:uid="{2E37E91D-028C-43C9-A8C2-C2C3AE2751AD}">
          <x14:formula1>
            <xm:f>'Feed(CoreFlex)'!$N$60:$N$100</xm:f>
          </x14:formula1>
          <xm:sqref>O10</xm:sqref>
        </x14:dataValidation>
        <x14:dataValidation type="list" allowBlank="1" showInputMessage="1" showErrorMessage="1" xr:uid="{E7C9611D-B522-4D76-87F9-3B37918B1141}">
          <x14:formula1>
            <xm:f>'Feed(CoreFlex)'!$B$2:$B$6</xm:f>
          </x14:formula1>
          <xm:sqref>O11</xm:sqref>
        </x14:dataValidation>
        <x14:dataValidation type="list" allowBlank="1" showInputMessage="1" showErrorMessage="1" xr:uid="{EACAC1B6-7841-4476-A5A1-BFE887EDB7F9}">
          <x14:formula1>
            <xm:f>'Feed(CoreFlex)'!$A$2:$A$8</xm:f>
          </x14:formula1>
          <xm:sqref>O12</xm:sqref>
        </x14:dataValidation>
        <x14:dataValidation type="list" allowBlank="1" showInputMessage="1" showErrorMessage="1" xr:uid="{313B621E-D113-4ED7-BC57-C5CB6D59A2CE}">
          <x14:formula1>
            <xm:f>'Feed(CoreFlex)'!$C$2</xm:f>
          </x14:formula1>
          <xm:sqref>O13</xm:sqref>
        </x14:dataValidation>
        <x14:dataValidation type="list" allowBlank="1" showInputMessage="1" showErrorMessage="1" xr:uid="{D3B07598-5499-421D-A809-10DFAEFAAE72}">
          <x14:formula1>
            <xm:f>'Feed(CoreFlex)'!$D$2:$D$3</xm:f>
          </x14:formula1>
          <xm:sqref>O17</xm:sqref>
        </x14:dataValidation>
        <x14:dataValidation type="list" allowBlank="1" showInputMessage="1" showErrorMessage="1" xr:uid="{84B2FE4F-9B24-434F-8C51-F03342902A54}">
          <x14:formula1>
            <xm:f>'Feed(CoreFlex)'!$E$2:$E$10</xm:f>
          </x14:formula1>
          <xm:sqref>O18</xm:sqref>
        </x14:dataValidation>
        <x14:dataValidation type="list" allowBlank="1" showInputMessage="1" showErrorMessage="1" xr:uid="{F4F4BFF7-3159-455C-B794-510EF5B541ED}">
          <x14:formula1>
            <xm:f>'Feed(CoreFlex)'!$P$2:$P$4</xm:f>
          </x14:formula1>
          <xm:sqref>O19</xm:sqref>
        </x14:dataValidation>
        <x14:dataValidation type="list" allowBlank="1" showInputMessage="1" showErrorMessage="1" xr:uid="{4F968057-80C6-48D1-9095-7556E4FF20E4}">
          <x14:formula1>
            <xm:f>'Feed(CoreFlex)'!$F$2:$F$4</xm:f>
          </x14:formula1>
          <xm:sqref>O20</xm:sqref>
        </x14:dataValidation>
        <x14:dataValidation type="list" allowBlank="1" showInputMessage="1" showErrorMessage="1" xr:uid="{C864034D-9B5B-4A80-A038-8392100AF7C5}">
          <x14:formula1>
            <xm:f>'Feed(CoreFlex)'!$J$2:$J$5</xm:f>
          </x14:formula1>
          <xm:sqref>O22</xm:sqref>
        </x14:dataValidation>
        <x14:dataValidation type="list" allowBlank="1" showInputMessage="1" showErrorMessage="1" xr:uid="{E78680C5-83E6-404B-A9AD-40EDA06C5E7F}">
          <x14:formula1>
            <xm:f>'Feed(CoreFlex)'!$L$2:$L$3</xm:f>
          </x14:formula1>
          <xm:sqref>O23</xm:sqref>
        </x14:dataValidation>
        <x14:dataValidation type="list" allowBlank="1" showInputMessage="1" showErrorMessage="1" xr:uid="{0FB576F4-87BF-4BAB-8951-A9FF949D160C}">
          <x14:formula1>
            <xm:f>'Feed(CoreFlex)'!$M$2:$M$3</xm:f>
          </x14:formula1>
          <xm:sqref>O25</xm:sqref>
        </x14:dataValidation>
        <x14:dataValidation type="list" allowBlank="1" showInputMessage="1" showErrorMessage="1" xr:uid="{827A45B4-81CA-4CD6-B7E4-ACC9125C8546}">
          <x14:formula1>
            <xm:f>'Feed(CoreFlex)'!$I$2:$I$4</xm:f>
          </x14:formula1>
          <xm:sqref>O26</xm:sqref>
        </x14:dataValidation>
        <x14:dataValidation type="list" allowBlank="1" showInputMessage="1" showErrorMessage="1" xr:uid="{7A246D33-4457-41B1-A456-5253CF7407B1}">
          <x14:formula1>
            <xm:f>'Feed(WS)'!$J$14:$J$16</xm:f>
          </x14:formula1>
          <xm:sqref>O28</xm:sqref>
        </x14:dataValidation>
        <x14:dataValidation type="list" allowBlank="1" showInputMessage="1" showErrorMessage="1" xr:uid="{1EEE153F-A8AD-4B03-9F20-6C828D4DF4A2}">
          <x14:formula1>
            <xm:f>'Feed(CoreFlex)'!$T$2:$T$10</xm:f>
          </x14:formula1>
          <xm:sqref>O29</xm:sqref>
        </x14:dataValidation>
        <x14:dataValidation type="list" allowBlank="1" showInputMessage="1" showErrorMessage="1" xr:uid="{35E238ED-95D4-41A8-B151-318151C2F28B}">
          <x14:formula1>
            <xm:f>'Feed(CoreFlex)'!$N$2:$N$6</xm:f>
          </x14:formula1>
          <xm:sqref>O30</xm:sqref>
        </x14:dataValidation>
        <x14:dataValidation type="list" allowBlank="1" showInputMessage="1" showErrorMessage="1" xr:uid="{3AEB9837-3CDA-4C5C-9095-060DAB1028FE}">
          <x14:formula1>
            <xm:f>'Feed(CoreFlex)'!$R$2:$R$5</xm:f>
          </x14:formula1>
          <xm:sqref>O31</xm:sqref>
        </x14:dataValidation>
        <x14:dataValidation type="list" allowBlank="1" showInputMessage="1" showErrorMessage="1" xr:uid="{17B9D747-B078-4665-AC5D-624FE0306880}">
          <x14:formula1>
            <xm:f>'Feed(CoreFlex)'!$S$2:$S$4</xm:f>
          </x14:formula1>
          <xm:sqref>O32</xm:sqref>
        </x14:dataValidation>
        <x14:dataValidation type="list" allowBlank="1" showInputMessage="1" showErrorMessage="1" xr:uid="{DE9446ED-0B4E-430F-95C9-C899AA3EB9E6}">
          <x14:formula1>
            <xm:f>'Feed(CoreFlex)'!$K$2:$K$6</xm:f>
          </x14:formula1>
          <xm:sqref>O24</xm:sqref>
        </x14:dataValidation>
        <x14:dataValidation type="list" allowBlank="1" showInputMessage="1" showErrorMessage="1" xr:uid="{5B29A204-6DC1-4542-BCED-6E571F2E2C6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44" customWidth="1"/>
    <col min="2" max="2" width="36.4257812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23" customHeight="1" thickBot="1" x14ac:dyDescent="0.3">
      <c r="A1" s="1037" t="s">
        <v>890</v>
      </c>
      <c r="B1" s="1038"/>
      <c r="C1" s="1038"/>
      <c r="D1" s="1039"/>
      <c r="E1" s="499"/>
    </row>
    <row r="2" spans="1:16" ht="15" customHeight="1" thickBot="1" x14ac:dyDescent="0.3">
      <c r="A2" s="1047" t="s">
        <v>770</v>
      </c>
      <c r="B2" s="1048"/>
      <c r="C2" s="1048"/>
      <c r="D2" s="1049"/>
      <c r="F2" s="1050" t="s">
        <v>748</v>
      </c>
      <c r="G2" s="1051"/>
      <c r="H2" s="1054" t="s">
        <v>741</v>
      </c>
      <c r="I2" s="1055"/>
      <c r="K2" s="459"/>
      <c r="L2" s="733"/>
      <c r="M2" s="733"/>
      <c r="O2" s="457"/>
      <c r="P2" s="456"/>
    </row>
    <row r="3" spans="1:16" x14ac:dyDescent="0.25">
      <c r="A3" s="480" t="s">
        <v>837</v>
      </c>
      <c r="B3" s="480" t="s">
        <v>838</v>
      </c>
      <c r="C3" s="480" t="s">
        <v>839</v>
      </c>
      <c r="D3" s="480" t="s">
        <v>840</v>
      </c>
      <c r="F3" s="1052"/>
      <c r="G3" s="1053"/>
      <c r="H3" s="1056" t="s">
        <v>746</v>
      </c>
      <c r="I3" s="1057"/>
      <c r="K3" s="459"/>
      <c r="L3" s="734"/>
      <c r="M3" s="734"/>
      <c r="O3" s="457"/>
      <c r="P3" s="456"/>
    </row>
    <row r="4" spans="1:16" ht="15.75" thickBot="1" x14ac:dyDescent="0.3">
      <c r="A4" s="480" t="s">
        <v>841</v>
      </c>
      <c r="B4" s="480" t="s">
        <v>842</v>
      </c>
      <c r="C4" s="480" t="s">
        <v>843</v>
      </c>
      <c r="D4" s="480" t="s">
        <v>844</v>
      </c>
      <c r="F4" s="1052"/>
      <c r="G4" s="1053"/>
      <c r="H4" s="1058"/>
      <c r="I4" s="1059"/>
      <c r="K4" s="459"/>
      <c r="L4" s="734"/>
      <c r="M4" s="734"/>
      <c r="O4" s="457"/>
      <c r="P4" s="456"/>
    </row>
    <row r="5" spans="1:16" ht="15.75" thickBot="1" x14ac:dyDescent="0.3">
      <c r="A5" s="480" t="s">
        <v>845</v>
      </c>
      <c r="B5" s="480" t="s">
        <v>846</v>
      </c>
      <c r="C5" s="480" t="s">
        <v>847</v>
      </c>
      <c r="D5" s="480" t="s">
        <v>848</v>
      </c>
      <c r="F5" s="1060" t="s">
        <v>749</v>
      </c>
      <c r="G5" s="1061"/>
      <c r="H5" s="1054" t="s">
        <v>742</v>
      </c>
      <c r="I5" s="1055"/>
      <c r="K5" s="459"/>
      <c r="L5" s="733"/>
      <c r="M5" s="733"/>
    </row>
    <row r="6" spans="1:16" ht="15" customHeight="1" x14ac:dyDescent="0.25">
      <c r="A6" s="480" t="s">
        <v>849</v>
      </c>
      <c r="B6" s="480" t="s">
        <v>850</v>
      </c>
      <c r="C6" s="480" t="s">
        <v>851</v>
      </c>
      <c r="D6" s="480" t="s">
        <v>852</v>
      </c>
      <c r="F6" s="1062"/>
      <c r="G6" s="1061"/>
      <c r="H6" s="1056" t="s">
        <v>744</v>
      </c>
      <c r="I6" s="1057"/>
      <c r="K6" s="460"/>
      <c r="L6" s="734"/>
      <c r="M6" s="734"/>
      <c r="O6" s="456"/>
    </row>
    <row r="7" spans="1:16" x14ac:dyDescent="0.25">
      <c r="A7" s="480" t="s">
        <v>853</v>
      </c>
      <c r="B7" s="480" t="s">
        <v>854</v>
      </c>
      <c r="C7" s="480" t="s">
        <v>836</v>
      </c>
      <c r="D7" s="480" t="s">
        <v>855</v>
      </c>
      <c r="F7" s="1060" t="s">
        <v>750</v>
      </c>
      <c r="G7" s="1061"/>
      <c r="H7" s="1060"/>
      <c r="I7" s="1063"/>
      <c r="K7" s="460"/>
      <c r="L7" s="734"/>
      <c r="M7" s="734"/>
      <c r="O7" s="456"/>
    </row>
    <row r="8" spans="1:16" ht="15.75" thickBot="1" x14ac:dyDescent="0.3">
      <c r="A8" s="480" t="s">
        <v>856</v>
      </c>
      <c r="B8" s="480" t="s">
        <v>857</v>
      </c>
      <c r="C8" s="480" t="s">
        <v>858</v>
      </c>
      <c r="D8" s="480" t="s">
        <v>859</v>
      </c>
      <c r="F8" s="1062"/>
      <c r="G8" s="1061"/>
      <c r="H8" s="1058"/>
      <c r="I8" s="1059"/>
      <c r="L8" s="734"/>
      <c r="M8" s="734"/>
      <c r="O8" s="456"/>
    </row>
    <row r="9" spans="1:16" ht="15" customHeight="1" thickBot="1" x14ac:dyDescent="0.3">
      <c r="A9" s="480" t="s">
        <v>860</v>
      </c>
      <c r="B9" s="480" t="s">
        <v>861</v>
      </c>
      <c r="C9" s="480" t="s">
        <v>862</v>
      </c>
      <c r="D9" s="480" t="s">
        <v>863</v>
      </c>
      <c r="F9" s="1060" t="s">
        <v>751</v>
      </c>
      <c r="G9" s="1063"/>
      <c r="H9" s="1054" t="s">
        <v>743</v>
      </c>
      <c r="I9" s="1055"/>
      <c r="K9" s="460"/>
      <c r="L9" s="733"/>
      <c r="M9" s="733"/>
    </row>
    <row r="10" spans="1:16" ht="15.75" thickBot="1" x14ac:dyDescent="0.3">
      <c r="A10" s="480" t="s">
        <v>864</v>
      </c>
      <c r="B10" s="480" t="s">
        <v>865</v>
      </c>
      <c r="C10" s="480" t="s">
        <v>866</v>
      </c>
      <c r="D10" s="480" t="s">
        <v>867</v>
      </c>
      <c r="F10" s="1060"/>
      <c r="G10" s="1063"/>
      <c r="H10" s="1066" t="s">
        <v>745</v>
      </c>
      <c r="I10" s="1067"/>
      <c r="K10" s="460"/>
      <c r="L10" s="735"/>
      <c r="M10" s="735"/>
    </row>
    <row r="11" spans="1:16" x14ac:dyDescent="0.25">
      <c r="A11" s="480" t="s">
        <v>868</v>
      </c>
      <c r="B11" s="480" t="s">
        <v>869</v>
      </c>
      <c r="C11" s="480" t="s">
        <v>870</v>
      </c>
      <c r="D11" s="495"/>
      <c r="F11" s="1060" t="s">
        <v>752</v>
      </c>
      <c r="G11" s="1061"/>
      <c r="I11" s="458"/>
    </row>
    <row r="12" spans="1:16" ht="15" customHeight="1" x14ac:dyDescent="0.25">
      <c r="A12" s="480" t="s">
        <v>871</v>
      </c>
      <c r="B12" s="480" t="s">
        <v>872</v>
      </c>
      <c r="C12" s="480" t="s">
        <v>873</v>
      </c>
      <c r="D12" s="495"/>
      <c r="F12" s="1062"/>
      <c r="G12" s="1061"/>
      <c r="H12" s="460"/>
      <c r="I12" s="460"/>
      <c r="J12" s="460"/>
      <c r="K12" s="460"/>
    </row>
    <row r="13" spans="1:16" ht="15.75" thickBot="1" x14ac:dyDescent="0.3">
      <c r="A13" s="481"/>
      <c r="B13" s="481"/>
      <c r="C13" s="481"/>
      <c r="D13" s="481"/>
      <c r="F13" s="1064"/>
      <c r="G13" s="1065"/>
      <c r="H13" s="460"/>
      <c r="I13" s="460"/>
      <c r="K13" s="460"/>
    </row>
    <row r="14" spans="1:16" ht="15.75" customHeight="1" thickBot="1" x14ac:dyDescent="0.3">
      <c r="A14" s="1040" t="s">
        <v>771</v>
      </c>
      <c r="B14" s="1041"/>
      <c r="C14" s="1041"/>
      <c r="D14" s="1042"/>
    </row>
    <row r="15" spans="1:16" ht="15.75" customHeight="1" thickBot="1" x14ac:dyDescent="0.3">
      <c r="A15" s="1043" t="s">
        <v>889</v>
      </c>
      <c r="B15" s="1044"/>
      <c r="C15" s="480" t="s">
        <v>874</v>
      </c>
      <c r="D15" s="480" t="s">
        <v>875</v>
      </c>
      <c r="F15" s="1070" t="s">
        <v>747</v>
      </c>
      <c r="G15" s="1071"/>
      <c r="H15" s="498"/>
      <c r="I15" s="498"/>
      <c r="J15" s="458"/>
      <c r="K15" s="458"/>
    </row>
    <row r="16" spans="1:16" ht="48.75" customHeight="1" x14ac:dyDescent="0.25">
      <c r="A16" s="1045"/>
      <c r="B16" s="1046"/>
      <c r="C16" s="480" t="s">
        <v>876</v>
      </c>
      <c r="D16" s="480" t="s">
        <v>877</v>
      </c>
      <c r="F16" s="1072" t="s">
        <v>753</v>
      </c>
      <c r="G16" s="1073"/>
      <c r="H16" s="498"/>
      <c r="I16" s="498"/>
      <c r="J16" s="460"/>
    </row>
    <row r="17" spans="1:16" ht="15" customHeight="1" x14ac:dyDescent="0.25">
      <c r="A17" s="481"/>
      <c r="B17" s="481"/>
      <c r="C17" s="481"/>
      <c r="D17" s="481"/>
      <c r="F17" s="1062"/>
      <c r="G17" s="1061"/>
      <c r="H17" s="498"/>
      <c r="I17" s="498"/>
      <c r="J17" s="460"/>
      <c r="K17" s="460"/>
      <c r="L17" s="460"/>
      <c r="M17" s="460"/>
      <c r="P17" s="456"/>
    </row>
    <row r="18" spans="1:16" ht="15" customHeight="1" x14ac:dyDescent="0.25">
      <c r="A18" s="1040" t="s">
        <v>772</v>
      </c>
      <c r="B18" s="1041"/>
      <c r="C18" s="1041"/>
      <c r="D18" s="1042"/>
      <c r="F18" s="1062"/>
      <c r="G18" s="1061"/>
      <c r="H18" s="498"/>
      <c r="I18" s="498"/>
      <c r="J18" s="460"/>
      <c r="K18" s="460"/>
      <c r="L18" s="460"/>
      <c r="M18" s="460"/>
      <c r="P18" s="456"/>
    </row>
    <row r="19" spans="1:16" x14ac:dyDescent="0.25">
      <c r="A19" s="482" t="s">
        <v>62</v>
      </c>
      <c r="B19" s="483" t="s">
        <v>878</v>
      </c>
      <c r="C19" s="484" t="s">
        <v>879</v>
      </c>
      <c r="D19" s="496" t="s">
        <v>773</v>
      </c>
      <c r="F19" s="1062"/>
      <c r="G19" s="1061"/>
      <c r="H19" s="498"/>
      <c r="I19" s="498"/>
      <c r="J19" s="460"/>
      <c r="K19" s="460"/>
      <c r="L19" s="460"/>
      <c r="M19" s="460"/>
      <c r="P19" s="456"/>
    </row>
    <row r="20" spans="1:16" ht="75" x14ac:dyDescent="0.25">
      <c r="A20" s="480" t="s">
        <v>824</v>
      </c>
      <c r="B20" s="497" t="s">
        <v>825</v>
      </c>
      <c r="C20" s="480" t="s">
        <v>826</v>
      </c>
      <c r="D20" s="480" t="s">
        <v>827</v>
      </c>
      <c r="F20" s="1062"/>
      <c r="G20" s="1061"/>
      <c r="H20" s="498"/>
      <c r="I20" s="498"/>
      <c r="J20" s="460"/>
      <c r="K20" s="460"/>
      <c r="L20" s="460"/>
      <c r="M20" s="460"/>
      <c r="P20" s="456"/>
    </row>
    <row r="21" spans="1:16" ht="75" x14ac:dyDescent="0.25">
      <c r="A21" s="480" t="s">
        <v>880</v>
      </c>
      <c r="B21" s="480" t="s">
        <v>828</v>
      </c>
      <c r="C21" s="497" t="s">
        <v>685</v>
      </c>
      <c r="D21" s="480" t="s">
        <v>684</v>
      </c>
      <c r="F21" s="1060" t="s">
        <v>754</v>
      </c>
      <c r="G21" s="1061"/>
      <c r="H21" s="498"/>
      <c r="I21" s="498"/>
      <c r="J21" s="460"/>
      <c r="K21" s="460"/>
      <c r="L21" s="460"/>
      <c r="M21" s="460"/>
    </row>
    <row r="22" spans="1:16" x14ac:dyDescent="0.25">
      <c r="A22" s="480" t="s">
        <v>881</v>
      </c>
      <c r="B22" s="480" t="s">
        <v>882</v>
      </c>
      <c r="C22" s="480" t="s">
        <v>832</v>
      </c>
      <c r="D22" s="480" t="s">
        <v>684</v>
      </c>
      <c r="F22" s="1062"/>
      <c r="G22" s="1061"/>
      <c r="H22" s="498"/>
      <c r="I22" s="498"/>
      <c r="P22" s="456"/>
    </row>
    <row r="23" spans="1:16" ht="29.25" customHeight="1" x14ac:dyDescent="0.25">
      <c r="A23" s="480" t="s">
        <v>883</v>
      </c>
      <c r="B23" s="480" t="s">
        <v>829</v>
      </c>
      <c r="C23" s="480" t="s">
        <v>826</v>
      </c>
      <c r="D23" s="480" t="s">
        <v>678</v>
      </c>
      <c r="F23" s="1062"/>
      <c r="G23" s="1061"/>
      <c r="H23" s="498"/>
      <c r="I23" s="498"/>
      <c r="J23" s="460"/>
      <c r="K23" s="460"/>
      <c r="L23" s="460"/>
      <c r="M23" s="460"/>
      <c r="P23" s="456"/>
    </row>
    <row r="24" spans="1:16" ht="31.5" customHeight="1" x14ac:dyDescent="0.25">
      <c r="A24" s="480" t="s">
        <v>884</v>
      </c>
      <c r="B24" s="480" t="s">
        <v>830</v>
      </c>
      <c r="C24" s="480" t="s">
        <v>833</v>
      </c>
      <c r="D24" s="480" t="s">
        <v>834</v>
      </c>
      <c r="F24" s="1062"/>
      <c r="G24" s="1061"/>
      <c r="H24" s="498"/>
      <c r="I24" s="498"/>
      <c r="J24" s="460"/>
      <c r="K24" s="460"/>
      <c r="L24" s="460"/>
      <c r="M24" s="460"/>
      <c r="P24" s="456"/>
    </row>
    <row r="25" spans="1:16" ht="45" x14ac:dyDescent="0.25">
      <c r="A25" s="480" t="s">
        <v>885</v>
      </c>
      <c r="B25" s="497" t="s">
        <v>831</v>
      </c>
      <c r="C25" s="480" t="s">
        <v>826</v>
      </c>
      <c r="D25" s="480" t="s">
        <v>835</v>
      </c>
      <c r="F25" s="1062"/>
      <c r="G25" s="1061"/>
      <c r="H25" s="498"/>
      <c r="I25" s="498"/>
      <c r="J25" s="460"/>
      <c r="K25" s="460"/>
      <c r="L25" s="460"/>
      <c r="M25" s="460"/>
      <c r="P25" s="456"/>
    </row>
    <row r="26" spans="1:16" x14ac:dyDescent="0.25">
      <c r="A26" s="480" t="s">
        <v>886</v>
      </c>
      <c r="B26" s="480" t="s">
        <v>887</v>
      </c>
      <c r="C26" s="480" t="s">
        <v>888</v>
      </c>
      <c r="D26" s="480" t="s">
        <v>684</v>
      </c>
      <c r="F26" s="1060" t="s">
        <v>755</v>
      </c>
      <c r="G26" s="1063"/>
      <c r="H26" s="460"/>
      <c r="I26" s="460"/>
      <c r="J26" s="460"/>
      <c r="K26" s="460"/>
      <c r="L26" s="460"/>
      <c r="M26" s="460"/>
      <c r="P26" s="456"/>
    </row>
    <row r="27" spans="1:16" x14ac:dyDescent="0.25">
      <c r="A27"/>
      <c r="B27"/>
      <c r="C27"/>
      <c r="D27"/>
      <c r="F27" s="1060"/>
      <c r="G27" s="1063"/>
      <c r="H27" s="460"/>
      <c r="I27" s="460"/>
      <c r="J27" s="460"/>
      <c r="K27" s="460"/>
      <c r="L27" s="460"/>
      <c r="M27" s="460"/>
    </row>
    <row r="28" spans="1:16" ht="53.25" customHeight="1" x14ac:dyDescent="0.25">
      <c r="A28"/>
      <c r="B28"/>
      <c r="C28"/>
      <c r="D28"/>
      <c r="F28" s="1060"/>
      <c r="G28" s="1063"/>
    </row>
    <row r="29" spans="1:16" ht="97.5" customHeight="1" thickBot="1" x14ac:dyDescent="0.3">
      <c r="A29"/>
      <c r="B29"/>
      <c r="C29"/>
      <c r="D29"/>
      <c r="F29" s="1068" t="s">
        <v>756</v>
      </c>
      <c r="G29" s="1069"/>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(LP)</vt:lpstr>
      <vt:lpstr>NonQM (BC)</vt:lpstr>
      <vt:lpstr>DSCR (BC)</vt:lpstr>
      <vt:lpstr>DSCR (LP)</vt:lpstr>
      <vt:lpstr>CoreFlex (LP)</vt:lpstr>
      <vt:lpstr>Prepay Matrix</vt:lpstr>
      <vt:lpstr>'CoreFlex (LP)'!Print_Area</vt:lpstr>
      <vt:lpstr>'DSCR (LP)'!Print_Area</vt:lpstr>
      <vt:lpstr>'NonQM (LP)'!Print_Area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2026-06-12T13:46:10Z</cp:lastPrinted>
  <dcterms:created xsi:type="dcterms:W3CDTF">2025-07-31T15:53:00Z</dcterms:created>
  <dcterms:modified xsi:type="dcterms:W3CDTF">2026-06-12T13:49:46Z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