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3FCC5B7D-2267-441D-838F-51F96E80D735}" xr6:coauthVersionLast="47" xr6:coauthVersionMax="47" xr10:uidLastSave="{00000000-0000-0000-0000-000000000000}"/>
  <workbookProtection workbookAlgorithmName="SHA-512" workbookHashValue="D9/IEFdx5jPCyy/6szpZcS9aj2LiCDecysv07axMK0V2bpSLtXiWzH4pe1JSWJUg285H9Xrz2Ft2b8Nf8ZyP+g==" workbookSaltValue="ndpVneHL6o2kjpykgxGbLg==" workbookSpinCount="100000" lockStructure="1"/>
  <bookViews>
    <workbookView xWindow="2235" yWindow="2415" windowWidth="26565" windowHeight="15585" firstSheet="1" activeTab="1" xr2:uid="{BF5CB3E8-408D-4CDF-9AED-AE3F28DDF411}"/>
  </bookViews>
  <sheets>
    <sheet name="Feed(WS)" sheetId="2" state="hidden" r:id="rId1"/>
    <sheet name="Closed End Seconds (LP)" sheetId="14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1" hidden="1">'Closed End Seconds (LP)'!$S$6:$AD$41</definedName>
    <definedName name="_xlnm._FilterDatabase" localSheetId="0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H70" i="2"/>
  <c r="F70" i="2"/>
  <c r="H69" i="2"/>
  <c r="F69" i="2"/>
  <c r="H68" i="2"/>
  <c r="F68" i="2"/>
  <c r="H67" i="2"/>
  <c r="F67" i="2"/>
  <c r="B67" i="2" a="1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18" i="14"/>
  <c r="V11" i="14" l="1"/>
  <c r="E136" i="2"/>
  <c r="V19" i="14"/>
  <c r="V17" i="14"/>
  <c r="V16" i="14"/>
  <c r="V15" i="14" a="1"/>
  <c r="V14" i="14"/>
  <c r="V13" i="14"/>
  <c r="V12" i="14"/>
  <c r="V25" i="14" l="1"/>
  <c r="V20" i="14" l="1"/>
  <c r="V24" i="14"/>
  <c r="U25" i="14" l="1"/>
  <c r="V34" i="14" l="1"/>
  <c r="U35" i="14" s="1"/>
  <c r="V33" i="14"/>
  <c r="W32" i="14" a="1"/>
  <c r="S25" i="14" l="1"/>
  <c r="I127" i="2" l="1"/>
  <c r="E147" i="2"/>
  <c r="E143" i="2" l="1"/>
  <c r="B48" i="2" s="1"/>
  <c r="I115" i="2"/>
  <c r="I114" i="2"/>
  <c r="I113" i="2"/>
  <c r="V27" i="14" l="1"/>
  <c r="B64" i="2" l="1"/>
  <c r="G82" i="2" l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V29" i="14" l="1"/>
  <c r="K115" i="2" l="1"/>
  <c r="W13" i="14"/>
  <c r="V26" i="14" s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32" i="2" s="1"/>
  <c r="K133" i="2" s="1"/>
  <c r="J129" i="2" a="1"/>
  <c r="J130" i="2" s="1"/>
  <c r="J131" i="2" s="1"/>
  <c r="L129" i="2" a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V28" i="14" l="1"/>
  <c r="V30" i="14" s="1"/>
  <c r="U36" i="14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<sst xmlns="http://schemas.openxmlformats.org/spreadsheetml/2006/main" count="517" uniqueCount="311">
  <si>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</si>
  <si>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</si>
  <si>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</si>
  <si>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</si>
  <si>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</si>
  <si>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</si>
  <si>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</si>
  <si>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</si>
  <si>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</si>
  <si>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</si>
  <si>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</si>
  <si>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</si>
  <si>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</si>
  <si>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</si>
  <si>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</si>
  <si>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</si>
  <si>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</si>
  <si>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</si>
  <si>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</si>
  <si>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</si>
  <si>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</si>
  <si>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</si>
  <si>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</si>
  <si>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</si>
  <si>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</si>
  <si>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</si>
  <si>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</si>
  <si>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</si>
  <si>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</si>
  <si>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</si>
  <si>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</si>
  <si>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</si>
  <si>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</si>
  <si>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</si>
  <si>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</si>
  <si>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</si>
  <si>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</si>
  <si>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</si>
  <si>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</si>
  <si>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</si>
  <si>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</si>
  <si>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</si>
  <si>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</si>
  <si>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</si>
  <si>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</si>
  <si>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</si>
  <si>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</si>
  <si>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</si>
  <si>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</si>
  <si>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</si>
  <si>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</si>
  <si>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</si>
  <si>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</si>
  <si>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</si>
  <si>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</si>
  <si>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</si>
  <si>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</si>
  <si>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</si>
  <si>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</si>
  <si>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</si>
  <si>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</si>
  <si>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</si>
  <si>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</si>
  <si>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</si>
  <si>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</si>
  <si>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</si>
  <si>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</si>
  <si>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</si>
  <si>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</si>
  <si>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</si>
  <si>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</si>
  <si>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</si>
  <si>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</si>
  <si>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</si>
  <si>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</si>
  <si>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</si>
  <si>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</si>
  <si>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</si>
  <si>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</si>
  <si>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</si>
  <si>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</si>
  <si>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</si>
  <si>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</si>
  <si>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</si>
  <si>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</si>
  <si>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</si>
  <si>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</si>
  <si>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</si>
  <si>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</si>
  <si>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</si>
  <si>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</si>
  <si>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</si>
  <si>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</si>
  <si>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</si>
  <si>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</si>
  <si>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</si>
  <si>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</si>
  <si>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</si>
  <si>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</si>
  <si>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</si>
  <si>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</si>
  <si>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</si>
  <si>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</si>
  <si>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</si>
  <si>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</si>
  <si>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</si>
  <si>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</si>
  <si>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</si>
  <si>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</si>
  <si>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</si>
  <si>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</si>
  <si>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</si>
  <si>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</si>
  <si>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</si>
  <si>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</si>
  <si>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</si>
  <si>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</si>
  <si>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</si>
  <si>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</si>
  <si>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</si>
  <si>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</si>
  <si>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</si>
  <si>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</si>
  <si>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</si>
  <si>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</si>
  <si>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</si>
  <si>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</si>
  <si>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</si>
  <si>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</si>
  <si>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</si>
  <si>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</si>
  <si>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</si>
  <si>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</si>
  <si>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</si>
  <si>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</si>
  <si>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</si>
  <si>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</si>
  <si>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</si>
  <si>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</si>
  <si>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</si>
  <si>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</si>
  <si>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</si>
  <si>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</si>
  <si>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</si>
  <si>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</si>
  <si>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</si>
  <si>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</si>
  <si>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</si>
  <si>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</si>
  <si>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</si>
  <si>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</si>
  <si>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</si>
  <si>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</si>
  <si>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</si>
  <si>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</si>
  <si>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</si>
  <si>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</si>
  <si>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</si>
  <si>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</si>
  <si>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</si>
  <si>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</si>
  <si>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19000 MacArthur Blvd, Suite 250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</si>
  <si>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</si>
  <si>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</si>
  <si>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</si>
  <si>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</si>
  <si>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</si>
  <si>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</si>
  <si>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</si>
  <si>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</si>
  <si>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</si>
  <si>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</si>
  <si>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</si>
  <si>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</si>
  <si>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</si>
  <si>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</si>
  <si>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</si>
  <si>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</si>
  <si>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</si>
  <si>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</si>
  <si>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</si>
  <si>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</si>
  <si>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</si>
  <si>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</si>
  <si>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</si>
  <si>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</si>
  <si>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</si>
  <si>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</si>
  <si>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</si>
  <si>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</si>
  <si>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</si>
  <si>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</si>
  <si>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</si>
  <si>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</si>
  <si>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</si>
  <si>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</si>
  <si>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</si>
  <si>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</si>
  <si>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</si>
  <si>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</si>
  <si>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</si>
  <si>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</si>
  <si>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</si>
  <si>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</si>
  <si>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</si>
  <si>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</si>
  <si>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</si>
  <si>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</si>
  <si>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</si>
  <si>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</si>
  <si>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</si>
  <si>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</si>
  <si>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</si>
  <si>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</si>
  <si>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</si>
  <si>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</si>
  <si>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</si>
  <si>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</si>
  <si>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</si>
  <si>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</si>
  <si>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</si>
  <si>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</si>
  <si>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</si>
  <si>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</si>
  <si>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</si>
  <si>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</si>
  <si>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</si>
  <si>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</si>
  <si>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</si>
  <si>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</si>
  <si>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</si>
  <si>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</si>
  <si>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</si>
  <si>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</si>
  <si>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</si>
  <si>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</si>
  <si>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</si>
  <si>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</si>
  <si>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</si>
  <si>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</si>
  <si>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</si>
  <si>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</si>
  <si>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</si>
  <si>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</si>
  <si>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</si>
  <si>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</si>
  <si>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</si>
  <si>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</si>
  <si>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</si>
  <si>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</si>
  <si>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</si>
  <si>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</si>
  <si>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</si>
  <si>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</si>
  <si>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</si>
  <si>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</si>
  <si>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</si>
  <si>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</si>
  <si>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</si>
  <si>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</si>
  <si>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</si>
  <si>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</si>
  <si>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</si>
  <si>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</si>
  <si>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</si>
  <si>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</si>
  <si>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</si>
  <si>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</si>
  <si>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</si>
  <si>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</si>
  <si>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</si>
  <si>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</si>
  <si>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</si>
  <si>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</si>
  <si>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</si>
  <si>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</si>
  <si>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</si>
  <si>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</si>
  <si>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</si>
  <si>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</si>
  <si>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</si>
  <si>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</si>
  <si>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</si>
  <si>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</si>
  <si>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</si>
  <si>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</si>
  <si>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</si>
  <si>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</si>
  <si>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</si>
  <si>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</si>
  <si>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</si>
  <si>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</si>
  <si>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</si>
  <si>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</si>
  <si>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</si>
  <si>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</si>
  <si>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</si>
  <si>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</si>
  <si>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</si>
  <si>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</si>
  <si>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</si>
  <si>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</si>
  <si>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t>July Special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</si>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</sst>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</numFmts>
  <fonts count="9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sz val="8"/>
      <color rgb="FFC00000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9"/>
      <color rgb="FFD6DCE9"/>
      <name val="Arial Black"/>
      <family val="2"/>
    </font>
    <font>
      <sz val="10"/>
      <color rgb="FFD6DCE9"/>
      <name val="Arial Black"/>
      <family val="2"/>
    </font>
    <font>
      <b/>
      <i/>
      <sz val="18"/>
      <name val="Arial"/>
      <family val="2"/>
    </font>
    <font>
      <i/>
      <sz val="12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D6DCE9"/>
      <name val="Arial Black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rgb="FF717374"/>
      <name val="Arial Black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8"/>
      <color theme="0"/>
      <name val="Aptos Narrow"/>
      <family val="2"/>
    </font>
    <font>
      <sz val="11"/>
      <name val="Aptos Narrow"/>
      <family val="2"/>
    </font>
    <font>
      <sz val="11"/>
      <color theme="0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sz val="10"/>
      <color rgb="FF003366"/>
      <name val="Aptos Narrow"/>
      <family val="2"/>
    </font>
    <font>
      <sz val="10"/>
      <color theme="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1"/>
      <name val="Aptos Narrow"/>
      <family val="2"/>
    </font>
    <font>
      <sz val="11"/>
      <color theme="0"/>
      <name val="Arial"/>
      <family val="2"/>
    </font>
    <font>
      <sz val="9"/>
      <color theme="1"/>
      <name val="Aptos Narrow"/>
      <family val="2"/>
    </font>
    <font>
      <b/>
      <sz val="11"/>
      <color rgb="FFFF0000"/>
      <name val="Aptos Narrow"/>
      <family val="2"/>
    </font>
    <font>
      <b/>
      <sz val="9"/>
      <color rgb="FFFF0000"/>
      <name val="Aptos Narrow"/>
      <family val="2"/>
    </font>
    <font>
      <sz val="11"/>
      <color rgb="FF003366"/>
      <name val="Aptos Narrow"/>
      <family val="2"/>
    </font>
    <font>
      <u/>
      <sz val="10"/>
      <color indexed="12"/>
      <name val="Aptos Narrow"/>
      <family val="2"/>
    </font>
    <font>
      <sz val="8"/>
      <color theme="1"/>
      <name val="Aptos Narrow"/>
      <family val="2"/>
    </font>
    <font>
      <b/>
      <sz val="9"/>
      <color theme="0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sz val="11"/>
      <color rgb="FF717374"/>
      <name val="Aptos Narrow"/>
      <family val="2"/>
    </font>
    <font>
      <b/>
      <i/>
      <u/>
      <sz val="12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C7D20"/>
        <bgColor indexed="64"/>
      </patternFill>
    </fill>
    <fill>
      <patternFill patternType="solid">
        <fgColor rgb="FF71737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19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11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6" fillId="0" borderId="0" xfId="2" applyFont="1"/>
    <xf numFmtId="0" fontId="24" fillId="11" borderId="0" xfId="2" applyFont="1" applyFill="1" applyAlignment="1">
      <alignment horizontal="center" vertical="center"/>
    </xf>
    <xf numFmtId="0" fontId="16" fillId="0" borderId="0" xfId="2" applyFont="1" applyAlignment="1">
      <alignment horizontal="center"/>
    </xf>
    <xf numFmtId="0" fontId="21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19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25" fillId="0" borderId="0" xfId="2" applyFont="1" applyAlignment="1">
      <alignment horizontal="center"/>
    </xf>
    <xf numFmtId="0" fontId="16" fillId="0" borderId="17" xfId="2" applyFont="1" applyBorder="1"/>
    <xf numFmtId="0" fontId="24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2" fillId="12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19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5" fillId="0" borderId="2" xfId="2" applyFont="1" applyBorder="1"/>
    <xf numFmtId="165" fontId="12" fillId="12" borderId="12" xfId="2" applyNumberFormat="1" applyFont="1" applyFill="1" applyBorder="1" applyAlignment="1">
      <alignment horizontal="center" vertical="center"/>
    </xf>
    <xf numFmtId="0" fontId="14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1" xfId="0" applyFont="1" applyFill="1" applyBorder="1" applyAlignment="1" applyProtection="1">
      <alignment horizontal="center" vertical="center"/>
      <protection hidden="1"/>
    </xf>
    <xf numFmtId="0" fontId="38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40" fillId="0" borderId="0" xfId="0" applyFont="1" applyAlignment="1" applyProtection="1">
      <alignment vertical="center"/>
      <protection hidden="1"/>
    </xf>
    <xf numFmtId="0" fontId="36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7" fillId="5" borderId="60" xfId="0" applyFont="1" applyFill="1" applyBorder="1" applyAlignment="1" applyProtection="1">
      <alignment horizontal="center" vertical="center"/>
      <protection hidden="1"/>
    </xf>
    <xf numFmtId="164" fontId="11" fillId="0" borderId="54" xfId="1" applyNumberFormat="1" applyFont="1" applyBorder="1" applyAlignment="1" applyProtection="1">
      <alignment horizontal="center" vertical="top"/>
      <protection hidden="1"/>
    </xf>
    <xf numFmtId="165" fontId="6" fillId="0" borderId="57" xfId="1" applyNumberFormat="1" applyFont="1" applyBorder="1" applyAlignment="1" applyProtection="1">
      <alignment horizontal="center" vertical="top"/>
      <protection hidden="1"/>
    </xf>
    <xf numFmtId="165" fontId="6" fillId="0" borderId="53" xfId="1" applyNumberFormat="1" applyFont="1" applyBorder="1" applyAlignment="1" applyProtection="1">
      <alignment horizontal="center" vertical="top"/>
      <protection hidden="1"/>
    </xf>
    <xf numFmtId="0" fontId="10" fillId="0" borderId="65" xfId="2" applyFont="1" applyBorder="1"/>
    <xf numFmtId="0" fontId="3" fillId="0" borderId="52" xfId="2" applyBorder="1"/>
    <xf numFmtId="0" fontId="10" fillId="0" borderId="66" xfId="2" applyFont="1" applyBorder="1"/>
    <xf numFmtId="0" fontId="10" fillId="0" borderId="52" xfId="2" applyFont="1" applyBorder="1" applyAlignment="1">
      <alignment horizontal="left" vertical="center"/>
    </xf>
    <xf numFmtId="0" fontId="10" fillId="0" borderId="66" xfId="2" applyFont="1" applyBorder="1" applyAlignment="1">
      <alignment horizontal="left" vertical="center"/>
    </xf>
    <xf numFmtId="165" fontId="12" fillId="12" borderId="53" xfId="2" applyNumberFormat="1" applyFont="1" applyFill="1" applyBorder="1" applyAlignment="1">
      <alignment horizontal="center" vertical="center"/>
    </xf>
    <xf numFmtId="0" fontId="10" fillId="0" borderId="65" xfId="2" applyFont="1" applyBorder="1" applyAlignment="1">
      <alignment horizontal="left" vertical="center"/>
    </xf>
    <xf numFmtId="165" fontId="12" fillId="12" borderId="63" xfId="2" applyNumberFormat="1" applyFont="1" applyFill="1" applyBorder="1" applyAlignment="1">
      <alignment horizontal="center" vertical="center"/>
    </xf>
    <xf numFmtId="0" fontId="3" fillId="0" borderId="66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4" xfId="1" applyNumberFormat="1" applyFont="1" applyFill="1" applyBorder="1" applyAlignment="1" applyProtection="1">
      <alignment horizontal="center" vertical="top"/>
      <protection hidden="1"/>
    </xf>
    <xf numFmtId="165" fontId="6" fillId="0" borderId="57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36" fillId="0" borderId="0" xfId="0" applyFont="1" applyAlignment="1" applyProtection="1">
      <alignment horizontal="center"/>
      <protection hidden="1"/>
    </xf>
    <xf numFmtId="165" fontId="40" fillId="0" borderId="9" xfId="0" applyNumberFormat="1" applyFont="1" applyBorder="1" applyAlignment="1" applyProtection="1">
      <alignment horizontal="center" vertical="top"/>
      <protection hidden="1"/>
    </xf>
    <xf numFmtId="165" fontId="36" fillId="0" borderId="16" xfId="0" applyNumberFormat="1" applyFont="1" applyBorder="1" applyAlignment="1" applyProtection="1">
      <alignment horizontal="center"/>
      <protection hidden="1"/>
    </xf>
    <xf numFmtId="0" fontId="40" fillId="0" borderId="10" xfId="0" applyFont="1" applyBorder="1" applyAlignment="1" applyProtection="1">
      <alignment horizontal="center" vertical="top"/>
      <protection hidden="1"/>
    </xf>
    <xf numFmtId="165" fontId="36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2" xfId="1" applyNumberFormat="1" applyFont="1" applyBorder="1" applyAlignment="1" applyProtection="1">
      <alignment horizontal="center" vertical="top"/>
      <protection hidden="1"/>
    </xf>
    <xf numFmtId="164" fontId="6" fillId="0" borderId="73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3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1" xfId="0" applyNumberFormat="1" applyFont="1" applyBorder="1"/>
    <xf numFmtId="165" fontId="41" fillId="10" borderId="6" xfId="0" applyNumberFormat="1" applyFont="1" applyFill="1" applyBorder="1" applyAlignment="1" applyProtection="1">
      <alignment horizontal="center"/>
      <protection hidden="1"/>
    </xf>
    <xf numFmtId="0" fontId="29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74" xfId="1" applyNumberFormat="1" applyFont="1" applyBorder="1" applyAlignment="1" applyProtection="1">
      <alignment horizontal="center" vertical="top"/>
      <protection hidden="1"/>
    </xf>
    <xf numFmtId="164" fontId="6" fillId="0" borderId="75" xfId="1" applyNumberFormat="1" applyFont="1" applyBorder="1" applyAlignment="1" applyProtection="1">
      <alignment horizontal="center" vertical="top"/>
      <protection hidden="1"/>
    </xf>
    <xf numFmtId="0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46" fillId="0" borderId="0" xfId="0" applyFont="1" applyAlignment="1">
      <alignment vertical="center" wrapText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6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31" fillId="0" borderId="0" xfId="0" applyFont="1" applyAlignment="1" applyProtection="1">
      <alignment horizontal="right" vertical="center"/>
      <protection hidden="1"/>
    </xf>
    <xf numFmtId="0" fontId="29" fillId="0" borderId="0" xfId="0" applyFont="1" applyAlignment="1" applyProtection="1">
      <alignment horizontal="right" vertical="top"/>
      <protection hidden="1"/>
    </xf>
    <xf numFmtId="0" fontId="42" fillId="0" borderId="0" xfId="0" applyFont="1" applyAlignment="1" applyProtection="1">
      <alignment horizontal="right" vertical="top"/>
      <protection hidden="1"/>
    </xf>
    <xf numFmtId="0" fontId="30" fillId="0" borderId="0" xfId="0" applyFont="1" applyAlignment="1" applyProtection="1">
      <alignment horizontal="right" vertical="center"/>
      <protection hidden="1"/>
    </xf>
    <xf numFmtId="167" fontId="37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/>
      <protection hidden="1"/>
    </xf>
    <xf numFmtId="167" fontId="37" fillId="0" borderId="0" xfId="0" applyNumberFormat="1" applyFont="1" applyAlignment="1" applyProtection="1">
      <alignment horizontal="right" vertical="center"/>
      <protection hidden="1"/>
    </xf>
    <xf numFmtId="0" fontId="0" fillId="0" borderId="58" xfId="0" applyBorder="1" applyProtection="1">
      <protection hidden="1"/>
    </xf>
    <xf numFmtId="0" fontId="0" fillId="0" borderId="58" xfId="0" applyBorder="1"/>
    <xf numFmtId="0" fontId="0" fillId="0" borderId="54" xfId="0" applyBorder="1" applyProtection="1">
      <protection hidden="1"/>
    </xf>
    <xf numFmtId="0" fontId="0" fillId="0" borderId="53" xfId="0" applyBorder="1" applyProtection="1">
      <protection hidden="1"/>
    </xf>
    <xf numFmtId="0" fontId="0" fillId="0" borderId="54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4" xfId="0" applyFont="1" applyBorder="1" applyProtection="1">
      <protection hidden="1"/>
    </xf>
    <xf numFmtId="0" fontId="2" fillId="0" borderId="53" xfId="0" applyFont="1" applyBorder="1" applyProtection="1">
      <protection hidden="1"/>
    </xf>
    <xf numFmtId="0" fontId="2" fillId="0" borderId="54" xfId="0" applyFont="1" applyBorder="1" applyAlignment="1" applyProtection="1">
      <alignment horizontal="left"/>
      <protection hidden="1"/>
    </xf>
    <xf numFmtId="0" fontId="0" fillId="0" borderId="76" xfId="0" applyBorder="1" applyProtection="1">
      <protection hidden="1"/>
    </xf>
    <xf numFmtId="0" fontId="0" fillId="0" borderId="77" xfId="0" applyBorder="1" applyProtection="1">
      <protection hidden="1"/>
    </xf>
    <xf numFmtId="0" fontId="29" fillId="0" borderId="78" xfId="0" applyFont="1" applyBorder="1" applyProtection="1">
      <protection hidden="1"/>
    </xf>
    <xf numFmtId="0" fontId="29" fillId="0" borderId="79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5" xfId="2" applyFont="1" applyFill="1" applyBorder="1" applyAlignment="1" applyProtection="1">
      <alignment horizontal="center"/>
      <protection hidden="1"/>
    </xf>
    <xf numFmtId="0" fontId="5" fillId="2" borderId="52" xfId="2" applyFont="1" applyFill="1" applyBorder="1" applyAlignment="1" applyProtection="1">
      <alignment horizontal="center"/>
      <protection hidden="1"/>
    </xf>
    <xf numFmtId="0" fontId="5" fillId="2" borderId="64" xfId="2" applyFont="1" applyFill="1" applyBorder="1" applyAlignment="1" applyProtection="1">
      <alignment horizontal="center"/>
      <protection hidden="1"/>
    </xf>
    <xf numFmtId="0" fontId="0" fillId="9" borderId="58" xfId="0" applyFill="1" applyBorder="1" applyProtection="1">
      <protection hidden="1"/>
    </xf>
    <xf numFmtId="0" fontId="0" fillId="9" borderId="58" xfId="0" applyFill="1" applyBorder="1"/>
    <xf numFmtId="0" fontId="0" fillId="18" borderId="58" xfId="0" applyFill="1" applyBorder="1"/>
    <xf numFmtId="0" fontId="0" fillId="9" borderId="71" xfId="0" applyFill="1" applyBorder="1"/>
    <xf numFmtId="0" fontId="0" fillId="0" borderId="71" xfId="0" applyBorder="1"/>
    <xf numFmtId="0" fontId="0" fillId="0" borderId="82" xfId="0" applyBorder="1"/>
    <xf numFmtId="0" fontId="0" fillId="0" borderId="67" xfId="0" applyBorder="1" applyProtection="1">
      <protection hidden="1"/>
    </xf>
    <xf numFmtId="0" fontId="0" fillId="9" borderId="56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1" xfId="0" applyBorder="1" applyProtection="1">
      <protection hidden="1"/>
    </xf>
    <xf numFmtId="0" fontId="0" fillId="9" borderId="71" xfId="0" applyFill="1" applyBorder="1" applyProtection="1">
      <protection hidden="1"/>
    </xf>
    <xf numFmtId="0" fontId="0" fillId="18" borderId="71" xfId="0" applyFill="1" applyBorder="1"/>
    <xf numFmtId="0" fontId="0" fillId="0" borderId="56" xfId="0" applyBorder="1" applyProtection="1">
      <protection hidden="1"/>
    </xf>
    <xf numFmtId="0" fontId="2" fillId="0" borderId="82" xfId="0" applyFont="1" applyBorder="1" applyProtection="1">
      <protection hidden="1"/>
    </xf>
    <xf numFmtId="0" fontId="2" fillId="0" borderId="71" xfId="0" applyFont="1" applyBorder="1" applyProtection="1">
      <protection hidden="1"/>
    </xf>
    <xf numFmtId="0" fontId="44" fillId="0" borderId="0" xfId="2" applyFont="1" applyAlignment="1" applyProtection="1">
      <alignment vertical="center"/>
      <protection hidden="1"/>
    </xf>
    <xf numFmtId="164" fontId="56" fillId="0" borderId="57" xfId="1" applyNumberFormat="1" applyFont="1" applyFill="1" applyBorder="1" applyAlignment="1" applyProtection="1">
      <alignment horizontal="center" vertical="center"/>
      <protection hidden="1"/>
    </xf>
    <xf numFmtId="0" fontId="2" fillId="14" borderId="0" xfId="0" applyFont="1" applyFill="1" applyProtection="1">
      <protection hidden="1"/>
    </xf>
    <xf numFmtId="0" fontId="0" fillId="14" borderId="0" xfId="0" applyFill="1" applyProtection="1">
      <protection hidden="1"/>
    </xf>
    <xf numFmtId="0" fontId="0" fillId="14" borderId="0" xfId="0" applyFill="1"/>
    <xf numFmtId="0" fontId="45" fillId="0" borderId="0" xfId="0" quotePrefix="1" applyFont="1" applyAlignment="1" applyProtection="1">
      <alignment vertical="center" wrapText="1"/>
      <protection hidden="1"/>
    </xf>
    <xf numFmtId="0" fontId="54" fillId="0" borderId="0" xfId="0" applyFont="1" applyAlignment="1" applyProtection="1">
      <alignment horizontal="right"/>
      <protection hidden="1"/>
    </xf>
    <xf numFmtId="0" fontId="35" fillId="6" borderId="0" xfId="2" applyFont="1" applyFill="1" applyAlignment="1" applyProtection="1">
      <alignment vertical="center"/>
      <protection hidden="1"/>
    </xf>
    <xf numFmtId="0" fontId="72" fillId="6" borderId="0" xfId="2" applyFont="1" applyFill="1" applyAlignment="1" applyProtection="1">
      <alignment horizontal="right" vertical="center"/>
      <protection hidden="1"/>
    </xf>
    <xf numFmtId="0" fontId="19" fillId="0" borderId="0" xfId="5" applyFill="1" applyBorder="1" applyAlignment="1">
      <alignment horizontal="center" vertical="center"/>
    </xf>
    <xf numFmtId="0" fontId="4" fillId="14" borderId="9" xfId="0" quotePrefix="1" applyFont="1" applyFill="1" applyBorder="1" applyAlignment="1" applyProtection="1">
      <alignment vertical="center" wrapText="1"/>
      <protection hidden="1"/>
    </xf>
    <xf numFmtId="0" fontId="4" fillId="14" borderId="0" xfId="0" quotePrefix="1" applyFont="1" applyFill="1" applyAlignment="1" applyProtection="1">
      <alignment vertical="center" wrapText="1"/>
      <protection hidden="1"/>
    </xf>
    <xf numFmtId="0" fontId="4" fillId="14" borderId="10" xfId="0" quotePrefix="1" applyFont="1" applyFill="1" applyBorder="1" applyAlignment="1" applyProtection="1">
      <alignment vertical="center" wrapText="1"/>
      <protection hidden="1"/>
    </xf>
    <xf numFmtId="0" fontId="42" fillId="0" borderId="0" xfId="0" applyFont="1" applyAlignment="1" applyProtection="1">
      <alignment vertical="top"/>
      <protection hidden="1"/>
    </xf>
    <xf numFmtId="164" fontId="51" fillId="16" borderId="81" xfId="1" applyNumberFormat="1" applyFont="1" applyFill="1" applyBorder="1" applyAlignment="1" applyProtection="1">
      <alignment horizontal="center" vertical="center"/>
      <protection hidden="1"/>
    </xf>
    <xf numFmtId="0" fontId="51" fillId="16" borderId="0" xfId="0" applyFont="1" applyFill="1" applyProtection="1">
      <protection hidden="1"/>
    </xf>
    <xf numFmtId="0" fontId="45" fillId="14" borderId="0" xfId="0" quotePrefix="1" applyFont="1" applyFill="1" applyAlignment="1" applyProtection="1">
      <alignment vertical="center" wrapText="1"/>
      <protection hidden="1"/>
    </xf>
    <xf numFmtId="167" fontId="48" fillId="14" borderId="0" xfId="0" applyNumberFormat="1" applyFont="1" applyFill="1" applyAlignment="1" applyProtection="1">
      <alignment vertical="top"/>
      <protection hidden="1"/>
    </xf>
    <xf numFmtId="0" fontId="13" fillId="14" borderId="0" xfId="0" applyFont="1" applyFill="1" applyAlignment="1" applyProtection="1">
      <alignment vertical="top"/>
      <protection hidden="1"/>
    </xf>
    <xf numFmtId="0" fontId="8" fillId="14" borderId="0" xfId="0" applyFont="1" applyFill="1" applyAlignment="1" applyProtection="1">
      <alignment vertical="top"/>
      <protection hidden="1"/>
    </xf>
    <xf numFmtId="0" fontId="8" fillId="14" borderId="0" xfId="0" applyFont="1" applyFill="1" applyAlignment="1" applyProtection="1">
      <alignment horizontal="center" vertical="top"/>
      <protection hidden="1"/>
    </xf>
    <xf numFmtId="0" fontId="49" fillId="14" borderId="0" xfId="0" applyFont="1" applyFill="1" applyAlignment="1" applyProtection="1">
      <alignment vertical="center"/>
      <protection hidden="1"/>
    </xf>
    <xf numFmtId="0" fontId="43" fillId="14" borderId="0" xfId="0" applyFont="1" applyFill="1" applyAlignment="1" applyProtection="1">
      <alignment vertical="center"/>
      <protection hidden="1"/>
    </xf>
    <xf numFmtId="0" fontId="32" fillId="14" borderId="0" xfId="0" applyFont="1" applyFill="1" applyAlignment="1" applyProtection="1">
      <alignment vertical="center" wrapText="1"/>
      <protection hidden="1"/>
    </xf>
    <xf numFmtId="0" fontId="42" fillId="14" borderId="0" xfId="0" applyFont="1" applyFill="1" applyAlignment="1" applyProtection="1">
      <alignment vertical="top"/>
      <protection hidden="1"/>
    </xf>
    <xf numFmtId="0" fontId="33" fillId="14" borderId="0" xfId="0" applyFont="1" applyFill="1" applyAlignment="1" applyProtection="1">
      <alignment vertical="center"/>
      <protection hidden="1"/>
    </xf>
    <xf numFmtId="0" fontId="43" fillId="14" borderId="10" xfId="0" applyFont="1" applyFill="1" applyBorder="1" applyAlignment="1" applyProtection="1">
      <alignment vertical="center"/>
      <protection hidden="1"/>
    </xf>
    <xf numFmtId="0" fontId="7" fillId="14" borderId="9" xfId="0" applyFont="1" applyFill="1" applyBorder="1" applyAlignment="1" applyProtection="1">
      <alignment vertical="center"/>
      <protection hidden="1"/>
    </xf>
    <xf numFmtId="0" fontId="9" fillId="14" borderId="0" xfId="0" applyFont="1" applyFill="1" applyAlignment="1" applyProtection="1">
      <alignment vertical="center"/>
      <protection hidden="1"/>
    </xf>
    <xf numFmtId="0" fontId="7" fillId="14" borderId="0" xfId="0" applyFont="1" applyFill="1" applyAlignment="1" applyProtection="1">
      <alignment vertical="center"/>
      <protection hidden="1"/>
    </xf>
    <xf numFmtId="0" fontId="73" fillId="14" borderId="10" xfId="0" applyFont="1" applyFill="1" applyBorder="1" applyProtection="1">
      <protection hidden="1"/>
    </xf>
    <xf numFmtId="166" fontId="56" fillId="0" borderId="57" xfId="0" applyNumberFormat="1" applyFont="1" applyBorder="1" applyAlignment="1" applyProtection="1">
      <alignment horizontal="center" vertical="top"/>
      <protection hidden="1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0" fontId="75" fillId="0" borderId="0" xfId="0" applyFont="1" applyAlignment="1" applyProtection="1">
      <alignment vertical="top"/>
      <protection hidden="1"/>
    </xf>
    <xf numFmtId="165" fontId="59" fillId="7" borderId="57" xfId="0" quotePrefix="1" applyNumberFormat="1" applyFont="1" applyFill="1" applyBorder="1" applyAlignment="1" applyProtection="1">
      <alignment horizontal="center" vertical="center"/>
      <protection locked="0"/>
    </xf>
    <xf numFmtId="172" fontId="74" fillId="7" borderId="57" xfId="0" applyNumberFormat="1" applyFont="1" applyFill="1" applyBorder="1" applyAlignment="1" applyProtection="1">
      <alignment horizontal="center" vertical="center"/>
      <protection hidden="1"/>
    </xf>
    <xf numFmtId="172" fontId="74" fillId="7" borderId="57" xfId="0" applyNumberFormat="1" applyFont="1" applyFill="1" applyBorder="1" applyAlignment="1" applyProtection="1">
      <alignment horizontal="center" vertical="center"/>
      <protection locked="0"/>
    </xf>
    <xf numFmtId="164" fontId="74" fillId="7" borderId="57" xfId="0" applyNumberFormat="1" applyFont="1" applyFill="1" applyBorder="1" applyAlignment="1" applyProtection="1">
      <alignment horizontal="center" vertical="center"/>
      <protection hidden="1"/>
    </xf>
    <xf numFmtId="0" fontId="56" fillId="17" borderId="57" xfId="0" applyFont="1" applyFill="1" applyBorder="1" applyAlignment="1" applyProtection="1">
      <alignment horizontal="center" vertical="center"/>
      <protection hidden="1"/>
    </xf>
    <xf numFmtId="165" fontId="77" fillId="0" borderId="57" xfId="0" applyNumberFormat="1" applyFont="1" applyBorder="1" applyAlignment="1" applyProtection="1">
      <alignment horizontal="center" vertical="top"/>
      <protection hidden="1"/>
    </xf>
    <xf numFmtId="0" fontId="54" fillId="14" borderId="0" xfId="0" applyFont="1" applyFill="1"/>
    <xf numFmtId="0" fontId="54" fillId="14" borderId="0" xfId="0" applyFont="1" applyFill="1" applyProtection="1">
      <protection hidden="1"/>
    </xf>
    <xf numFmtId="0" fontId="79" fillId="14" borderId="0" xfId="0" applyFont="1" applyFill="1" applyAlignment="1" applyProtection="1">
      <alignment vertical="center" wrapText="1"/>
      <protection hidden="1"/>
    </xf>
    <xf numFmtId="165" fontId="59" fillId="0" borderId="57" xfId="0" applyNumberFormat="1" applyFont="1" applyBorder="1" applyAlignment="1" applyProtection="1">
      <alignment horizontal="center" vertical="center"/>
      <protection hidden="1"/>
    </xf>
    <xf numFmtId="165" fontId="74" fillId="0" borderId="57" xfId="0" applyNumberFormat="1" applyFont="1" applyBorder="1" applyAlignment="1" applyProtection="1">
      <alignment horizontal="center" vertical="center"/>
      <protection hidden="1"/>
    </xf>
    <xf numFmtId="164" fontId="62" fillId="14" borderId="0" xfId="1" applyNumberFormat="1" applyFont="1" applyFill="1" applyBorder="1" applyAlignment="1" applyProtection="1">
      <alignment horizontal="center" vertical="center"/>
      <protection hidden="1"/>
    </xf>
    <xf numFmtId="0" fontId="54" fillId="14" borderId="0" xfId="0" applyFont="1" applyFill="1" applyAlignment="1">
      <alignment vertical="top" wrapText="1"/>
    </xf>
    <xf numFmtId="164" fontId="77" fillId="0" borderId="53" xfId="1" applyNumberFormat="1" applyFont="1" applyFill="1" applyBorder="1" applyAlignment="1" applyProtection="1">
      <alignment horizontal="center" vertical="center"/>
      <protection hidden="1"/>
    </xf>
    <xf numFmtId="0" fontId="60" fillId="14" borderId="0" xfId="2" applyFont="1" applyFill="1" applyAlignment="1" applyProtection="1">
      <alignment vertical="center"/>
      <protection hidden="1"/>
    </xf>
    <xf numFmtId="164" fontId="61" fillId="16" borderId="0" xfId="1" applyNumberFormat="1" applyFont="1" applyFill="1" applyBorder="1" applyAlignment="1" applyProtection="1">
      <alignment horizontal="center" vertical="center"/>
      <protection hidden="1"/>
    </xf>
    <xf numFmtId="0" fontId="74" fillId="16" borderId="57" xfId="0" applyFont="1" applyFill="1" applyBorder="1" applyAlignment="1" applyProtection="1">
      <alignment vertical="top"/>
      <protection hidden="1"/>
    </xf>
    <xf numFmtId="0" fontId="79" fillId="16" borderId="0" xfId="0" applyFont="1" applyFill="1" applyAlignment="1" applyProtection="1">
      <alignment vertical="top"/>
      <protection hidden="1"/>
    </xf>
    <xf numFmtId="164" fontId="82" fillId="16" borderId="57" xfId="1" applyNumberFormat="1" applyFont="1" applyFill="1" applyBorder="1" applyAlignment="1" applyProtection="1">
      <alignment horizontal="center" vertical="center"/>
      <protection hidden="1"/>
    </xf>
    <xf numFmtId="0" fontId="87" fillId="16" borderId="0" xfId="0" applyFont="1" applyFill="1" applyAlignment="1" applyProtection="1">
      <alignment vertical="center"/>
      <protection hidden="1"/>
    </xf>
    <xf numFmtId="0" fontId="84" fillId="16" borderId="0" xfId="0" applyFont="1" applyFill="1" applyAlignment="1" applyProtection="1">
      <alignment vertical="center"/>
      <protection hidden="1"/>
    </xf>
    <xf numFmtId="0" fontId="85" fillId="16" borderId="0" xfId="0" applyFont="1" applyFill="1" applyAlignment="1" applyProtection="1">
      <alignment vertical="center" wrapText="1"/>
      <protection hidden="1"/>
    </xf>
    <xf numFmtId="0" fontId="69" fillId="16" borderId="0" xfId="0" applyFont="1" applyFill="1" applyAlignment="1" applyProtection="1">
      <alignment vertical="top"/>
      <protection hidden="1"/>
    </xf>
    <xf numFmtId="0" fontId="86" fillId="16" borderId="0" xfId="0" applyFont="1" applyFill="1" applyAlignment="1" applyProtection="1">
      <alignment vertical="center"/>
      <protection hidden="1"/>
    </xf>
    <xf numFmtId="165" fontId="80" fillId="16" borderId="57" xfId="0" applyNumberFormat="1" applyFont="1" applyFill="1" applyBorder="1" applyAlignment="1" applyProtection="1">
      <alignment horizontal="center" vertical="center"/>
      <protection hidden="1"/>
    </xf>
    <xf numFmtId="0" fontId="84" fillId="16" borderId="10" xfId="0" applyFont="1" applyFill="1" applyBorder="1" applyAlignment="1" applyProtection="1">
      <alignment vertical="center"/>
      <protection hidden="1"/>
    </xf>
    <xf numFmtId="165" fontId="66" fillId="15" borderId="57" xfId="0" applyNumberFormat="1" applyFont="1" applyFill="1" applyBorder="1" applyAlignment="1" applyProtection="1">
      <alignment horizontal="center" vertical="center"/>
      <protection hidden="1"/>
    </xf>
    <xf numFmtId="0" fontId="64" fillId="15" borderId="9" xfId="0" applyFont="1" applyFill="1" applyBorder="1" applyAlignment="1" applyProtection="1">
      <alignment vertical="center"/>
      <protection hidden="1"/>
    </xf>
    <xf numFmtId="0" fontId="61" fillId="15" borderId="0" xfId="0" applyFont="1" applyFill="1" applyAlignment="1" applyProtection="1">
      <alignment vertical="center"/>
      <protection hidden="1"/>
    </xf>
    <xf numFmtId="0" fontId="64" fillId="15" borderId="13" xfId="0" applyFont="1" applyFill="1" applyBorder="1" applyAlignment="1" applyProtection="1">
      <alignment vertical="center"/>
      <protection hidden="1"/>
    </xf>
    <xf numFmtId="0" fontId="57" fillId="15" borderId="7" xfId="0" applyFont="1" applyFill="1" applyBorder="1" applyProtection="1">
      <protection hidden="1"/>
    </xf>
    <xf numFmtId="164" fontId="61" fillId="14" borderId="0" xfId="1" applyNumberFormat="1" applyFont="1" applyFill="1" applyBorder="1" applyAlignment="1" applyProtection="1">
      <alignment horizontal="center" vertical="center"/>
      <protection hidden="1"/>
    </xf>
    <xf numFmtId="164" fontId="63" fillId="14" borderId="0" xfId="1" applyNumberFormat="1" applyFont="1" applyFill="1" applyBorder="1" applyAlignment="1" applyProtection="1">
      <alignment horizontal="center" vertical="center"/>
      <protection hidden="1"/>
    </xf>
    <xf numFmtId="164" fontId="51" fillId="16" borderId="80" xfId="1" applyNumberFormat="1" applyFont="1" applyFill="1" applyBorder="1" applyAlignment="1" applyProtection="1">
      <alignment horizontal="center" vertical="center"/>
      <protection hidden="1"/>
    </xf>
    <xf numFmtId="164" fontId="51" fillId="16" borderId="19" xfId="1" applyNumberFormat="1" applyFont="1" applyFill="1" applyBorder="1" applyAlignment="1" applyProtection="1">
      <alignment horizontal="center" vertical="center"/>
      <protection hidden="1"/>
    </xf>
    <xf numFmtId="164" fontId="51" fillId="16" borderId="54" xfId="1" applyNumberFormat="1" applyFont="1" applyFill="1" applyBorder="1" applyAlignment="1" applyProtection="1">
      <alignment horizontal="center" vertical="center"/>
      <protection hidden="1"/>
    </xf>
    <xf numFmtId="164" fontId="51" fillId="16" borderId="76" xfId="1" applyNumberFormat="1" applyFont="1" applyFill="1" applyBorder="1" applyAlignment="1" applyProtection="1">
      <alignment horizontal="center" vertical="center"/>
      <protection hidden="1"/>
    </xf>
    <xf numFmtId="164" fontId="56" fillId="0" borderId="60" xfId="1" applyNumberFormat="1" applyFont="1" applyFill="1" applyBorder="1" applyAlignment="1" applyProtection="1">
      <alignment horizontal="center" vertical="center"/>
      <protection hidden="1"/>
    </xf>
    <xf numFmtId="164" fontId="56" fillId="0" borderId="53" xfId="1" applyNumberFormat="1" applyFont="1" applyFill="1" applyBorder="1" applyAlignment="1" applyProtection="1">
      <alignment horizontal="center" vertical="center"/>
      <protection hidden="1"/>
    </xf>
    <xf numFmtId="164" fontId="56" fillId="0" borderId="77" xfId="1" applyNumberFormat="1" applyFont="1" applyFill="1" applyBorder="1" applyAlignment="1" applyProtection="1">
      <alignment horizontal="center" vertical="center"/>
      <protection hidden="1"/>
    </xf>
    <xf numFmtId="169" fontId="81" fillId="8" borderId="67" xfId="0" applyNumberFormat="1" applyFont="1" applyFill="1" applyBorder="1" applyAlignment="1" applyProtection="1">
      <alignment horizontal="center" vertical="top"/>
      <protection locked="0" hidden="1"/>
    </xf>
    <xf numFmtId="0" fontId="65" fillId="8" borderId="67" xfId="0" applyFont="1" applyFill="1" applyBorder="1" applyAlignment="1" applyProtection="1">
      <alignment horizontal="center" vertical="top"/>
      <protection locked="0" hidden="1"/>
    </xf>
    <xf numFmtId="171" fontId="65" fillId="8" borderId="67" xfId="0" applyNumberFormat="1" applyFont="1" applyFill="1" applyBorder="1" applyAlignment="1" applyProtection="1">
      <alignment horizontal="center" vertical="top"/>
      <protection locked="0" hidden="1"/>
    </xf>
    <xf numFmtId="0" fontId="65" fillId="8" borderId="67" xfId="0" applyFont="1" applyFill="1" applyBorder="1" applyAlignment="1" applyProtection="1">
      <alignment horizontal="center" vertical="top"/>
      <protection hidden="1"/>
    </xf>
    <xf numFmtId="0" fontId="53" fillId="16" borderId="7" xfId="2" applyFont="1" applyFill="1" applyBorder="1" applyAlignment="1" applyProtection="1">
      <alignment horizontal="center"/>
      <protection hidden="1"/>
    </xf>
    <xf numFmtId="0" fontId="53" fillId="16" borderId="10" xfId="2" applyFont="1" applyFill="1" applyBorder="1" applyAlignment="1" applyProtection="1">
      <alignment horizontal="center"/>
      <protection hidden="1"/>
    </xf>
    <xf numFmtId="0" fontId="53" fillId="16" borderId="18" xfId="2" applyFont="1" applyFill="1" applyBorder="1" applyAlignment="1" applyProtection="1">
      <alignment horizontal="center"/>
      <protection hidden="1"/>
    </xf>
    <xf numFmtId="0" fontId="58" fillId="4" borderId="57" xfId="0" applyFont="1" applyFill="1" applyBorder="1" applyAlignment="1" applyProtection="1">
      <alignment horizontal="center" vertical="top"/>
      <protection hidden="1"/>
    </xf>
    <xf numFmtId="164" fontId="51" fillId="16" borderId="57" xfId="1" applyNumberFormat="1" applyFont="1" applyFill="1" applyBorder="1" applyAlignment="1" applyProtection="1">
      <alignment horizontal="center" vertical="center"/>
      <protection hidden="1"/>
    </xf>
    <xf numFmtId="0" fontId="0" fillId="0" borderId="57" xfId="0" applyBorder="1"/>
    <xf numFmtId="0" fontId="2" fillId="0" borderId="56" xfId="0" applyFont="1" applyBorder="1" applyProtection="1">
      <protection hidden="1"/>
    </xf>
    <xf numFmtId="0" fontId="89" fillId="5" borderId="0" xfId="0" applyFont="1" applyFill="1" applyProtection="1">
      <protection hidden="1"/>
    </xf>
    <xf numFmtId="0" fontId="90" fillId="5" borderId="0" xfId="0" applyFont="1" applyFill="1" applyAlignment="1" applyProtection="1">
      <alignment horizontal="left"/>
      <protection hidden="1"/>
    </xf>
    <xf numFmtId="0" fontId="91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48" fillId="5" borderId="0" xfId="0" applyFont="1" applyFill="1" applyProtection="1">
      <protection hidden="1"/>
    </xf>
    <xf numFmtId="0" fontId="71" fillId="17" borderId="84" xfId="0" applyFont="1" applyFill="1" applyBorder="1" applyAlignment="1" applyProtection="1">
      <alignment horizontal="center" vertical="center"/>
      <protection hidden="1"/>
    </xf>
    <xf numFmtId="0" fontId="92" fillId="19" borderId="2" xfId="0" applyFont="1" applyFill="1" applyBorder="1"/>
    <xf numFmtId="0" fontId="48" fillId="19" borderId="3" xfId="0" applyFont="1" applyFill="1" applyBorder="1" applyAlignment="1" applyProtection="1">
      <alignment horizontal="center"/>
      <protection hidden="1"/>
    </xf>
    <xf numFmtId="0" fontId="54" fillId="17" borderId="57" xfId="0" applyFont="1" applyFill="1" applyBorder="1" applyAlignment="1" applyProtection="1">
      <alignment horizontal="center" vertical="center"/>
      <protection hidden="1"/>
    </xf>
    <xf numFmtId="166" fontId="56" fillId="0" borderId="57" xfId="0" quotePrefix="1" applyNumberFormat="1" applyFont="1" applyBorder="1" applyAlignment="1" applyProtection="1">
      <alignment horizontal="center" vertical="center"/>
      <protection hidden="1"/>
    </xf>
    <xf numFmtId="0" fontId="56" fillId="17" borderId="55" xfId="0" applyFont="1" applyFill="1" applyBorder="1" applyAlignment="1" applyProtection="1">
      <alignment horizontal="center" vertical="center"/>
      <protection hidden="1"/>
    </xf>
    <xf numFmtId="0" fontId="56" fillId="17" borderId="67" xfId="0" applyFont="1" applyFill="1" applyBorder="1" applyAlignment="1" applyProtection="1">
      <alignment horizontal="center" vertical="center"/>
      <protection hidden="1"/>
    </xf>
    <xf numFmtId="0" fontId="58" fillId="17" borderId="0" xfId="0" applyFont="1" applyFill="1" applyAlignment="1" applyProtection="1">
      <alignment horizontal="center" vertical="center"/>
      <protection hidden="1"/>
    </xf>
    <xf numFmtId="164" fontId="59" fillId="17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40" fillId="7" borderId="5" xfId="0" applyFont="1" applyFill="1" applyBorder="1" applyAlignment="1" applyProtection="1">
      <alignment horizontal="center" vertical="top"/>
      <protection hidden="1"/>
    </xf>
    <xf numFmtId="0" fontId="40" fillId="7" borderId="9" xfId="0" applyFont="1" applyFill="1" applyBorder="1" applyAlignment="1" applyProtection="1">
      <alignment horizontal="center" vertical="top"/>
      <protection hidden="1"/>
    </xf>
    <xf numFmtId="0" fontId="40" fillId="7" borderId="7" xfId="0" applyFont="1" applyFill="1" applyBorder="1" applyAlignment="1" applyProtection="1">
      <alignment horizontal="center" vertical="top"/>
      <protection hidden="1"/>
    </xf>
    <xf numFmtId="0" fontId="40" fillId="7" borderId="10" xfId="0" applyFont="1" applyFill="1" applyBorder="1" applyAlignment="1" applyProtection="1">
      <alignment horizontal="center" vertical="top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165" fontId="47" fillId="0" borderId="7" xfId="0" applyNumberFormat="1" applyFont="1" applyBorder="1" applyAlignment="1">
      <alignment horizontal="center"/>
    </xf>
    <xf numFmtId="165" fontId="47" fillId="0" borderId="10" xfId="0" applyNumberFormat="1" applyFont="1" applyBorder="1" applyAlignment="1">
      <alignment horizontal="center"/>
    </xf>
    <xf numFmtId="165" fontId="47" fillId="0" borderId="18" xfId="0" applyNumberFormat="1" applyFont="1" applyBorder="1" applyAlignment="1">
      <alignment horizontal="center"/>
    </xf>
    <xf numFmtId="0" fontId="34" fillId="6" borderId="0" xfId="2" applyFont="1" applyFill="1" applyAlignment="1" applyProtection="1">
      <alignment horizontal="center" vertical="center"/>
      <protection hidden="1"/>
    </xf>
    <xf numFmtId="0" fontId="0" fillId="0" borderId="10" xfId="0" applyBorder="1" applyAlignment="1">
      <alignment wrapText="1"/>
    </xf>
    <xf numFmtId="0" fontId="74" fillId="7" borderId="57" xfId="0" applyFont="1" applyFill="1" applyBorder="1" applyAlignment="1" applyProtection="1">
      <alignment horizontal="center" vertical="center"/>
      <protection hidden="1"/>
    </xf>
    <xf numFmtId="165" fontId="74" fillId="7" borderId="57" xfId="0" applyNumberFormat="1" applyFont="1" applyFill="1" applyBorder="1" applyAlignment="1" applyProtection="1">
      <alignment horizontal="center" vertical="center"/>
      <protection hidden="1"/>
    </xf>
    <xf numFmtId="0" fontId="76" fillId="7" borderId="17" xfId="0" quotePrefix="1" applyFont="1" applyFill="1" applyBorder="1" applyAlignment="1" applyProtection="1">
      <alignment horizontal="center" vertical="center"/>
      <protection hidden="1"/>
    </xf>
    <xf numFmtId="0" fontId="76" fillId="7" borderId="0" xfId="0" quotePrefix="1" applyFont="1" applyFill="1" applyAlignment="1" applyProtection="1">
      <alignment horizontal="center" vertical="center"/>
      <protection hidden="1"/>
    </xf>
    <xf numFmtId="0" fontId="76" fillId="7" borderId="14" xfId="0" quotePrefix="1" applyFont="1" applyFill="1" applyBorder="1" applyAlignment="1" applyProtection="1">
      <alignment horizontal="center" vertical="center"/>
      <protection hidden="1"/>
    </xf>
    <xf numFmtId="0" fontId="74" fillId="7" borderId="57" xfId="0" quotePrefix="1" applyFont="1" applyFill="1" applyBorder="1" applyAlignment="1" applyProtection="1">
      <alignment horizontal="center" vertical="center"/>
      <protection hidden="1"/>
    </xf>
    <xf numFmtId="172" fontId="74" fillId="7" borderId="57" xfId="0" quotePrefix="1" applyNumberFormat="1" applyFont="1" applyFill="1" applyBorder="1" applyAlignment="1" applyProtection="1">
      <alignment horizontal="center" vertical="center"/>
      <protection locked="0"/>
    </xf>
    <xf numFmtId="0" fontId="59" fillId="7" borderId="57" xfId="0" quotePrefix="1" applyFont="1" applyFill="1" applyBorder="1" applyAlignment="1" applyProtection="1">
      <alignment horizontal="center" vertical="center"/>
      <protection hidden="1"/>
    </xf>
    <xf numFmtId="0" fontId="71" fillId="17" borderId="85" xfId="0" applyFont="1" applyFill="1" applyBorder="1" applyAlignment="1" applyProtection="1">
      <alignment horizontal="left" vertical="center"/>
      <protection hidden="1"/>
    </xf>
    <xf numFmtId="0" fontId="71" fillId="17" borderId="86" xfId="0" applyFont="1" applyFill="1" applyBorder="1" applyAlignment="1" applyProtection="1">
      <alignment horizontal="left" vertical="center"/>
      <protection hidden="1"/>
    </xf>
    <xf numFmtId="0" fontId="78" fillId="17" borderId="0" xfId="5" applyFont="1" applyFill="1" applyBorder="1" applyAlignment="1">
      <alignment horizontal="center" vertical="center"/>
    </xf>
    <xf numFmtId="0" fontId="50" fillId="14" borderId="7" xfId="7" quotePrefix="1" applyFont="1" applyFill="1" applyBorder="1" applyAlignment="1" applyProtection="1">
      <alignment horizontal="center" vertical="center"/>
      <protection hidden="1"/>
    </xf>
    <xf numFmtId="0" fontId="50" fillId="14" borderId="18" xfId="7" quotePrefix="1" applyFont="1" applyFill="1" applyBorder="1" applyAlignment="1" applyProtection="1">
      <alignment horizontal="center" vertical="center"/>
      <protection hidden="1"/>
    </xf>
    <xf numFmtId="165" fontId="50" fillId="14" borderId="7" xfId="0" applyNumberFormat="1" applyFont="1" applyFill="1" applyBorder="1" applyAlignment="1" applyProtection="1">
      <alignment horizontal="center" vertical="center"/>
      <protection hidden="1"/>
    </xf>
    <xf numFmtId="165" fontId="50" fillId="14" borderId="18" xfId="0" applyNumberFormat="1" applyFont="1" applyFill="1" applyBorder="1" applyAlignment="1" applyProtection="1">
      <alignment horizontal="center" vertical="center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0" fontId="83" fillId="15" borderId="9" xfId="0" quotePrefix="1" applyFont="1" applyFill="1" applyBorder="1" applyAlignment="1" applyProtection="1">
      <alignment horizontal="center" vertical="center" wrapText="1"/>
      <protection hidden="1"/>
    </xf>
    <xf numFmtId="0" fontId="83" fillId="15" borderId="0" xfId="0" quotePrefix="1" applyFont="1" applyFill="1" applyAlignment="1" applyProtection="1">
      <alignment horizontal="center" vertical="center" wrapText="1"/>
      <protection hidden="1"/>
    </xf>
    <xf numFmtId="0" fontId="53" fillId="15" borderId="7" xfId="2" applyFont="1" applyFill="1" applyBorder="1" applyAlignment="1" applyProtection="1">
      <alignment horizontal="center" vertical="center"/>
      <protection hidden="1"/>
    </xf>
    <xf numFmtId="0" fontId="53" fillId="15" borderId="10" xfId="2" applyFont="1" applyFill="1" applyBorder="1" applyAlignment="1" applyProtection="1">
      <alignment horizontal="center" vertical="center"/>
      <protection hidden="1"/>
    </xf>
    <xf numFmtId="0" fontId="53" fillId="16" borderId="5" xfId="2" applyFont="1" applyFill="1" applyBorder="1" applyAlignment="1" applyProtection="1">
      <alignment horizontal="center"/>
      <protection hidden="1"/>
    </xf>
    <xf numFmtId="0" fontId="53" fillId="16" borderId="9" xfId="2" applyFont="1" applyFill="1" applyBorder="1" applyAlignment="1" applyProtection="1">
      <alignment horizontal="center"/>
      <protection hidden="1"/>
    </xf>
    <xf numFmtId="0" fontId="53" fillId="16" borderId="16" xfId="2" applyFont="1" applyFill="1" applyBorder="1" applyAlignment="1" applyProtection="1">
      <alignment horizontal="center"/>
      <protection hidden="1"/>
    </xf>
    <xf numFmtId="167" fontId="37" fillId="0" borderId="0" xfId="0" applyNumberFormat="1" applyFont="1" applyAlignment="1" applyProtection="1">
      <alignment horizontal="right" vertical="center"/>
      <protection hidden="1"/>
    </xf>
    <xf numFmtId="0" fontId="52" fillId="15" borderId="0" xfId="2" applyFont="1" applyFill="1" applyAlignment="1" applyProtection="1">
      <alignment horizontal="center" vertical="center"/>
      <protection hidden="1"/>
    </xf>
    <xf numFmtId="0" fontId="88" fillId="15" borderId="83" xfId="0" applyFont="1" applyFill="1" applyBorder="1" applyAlignment="1" applyProtection="1">
      <alignment horizontal="center"/>
      <protection hidden="1"/>
    </xf>
    <xf numFmtId="0" fontId="88" fillId="15" borderId="0" xfId="0" applyFont="1" applyFill="1" applyAlignment="1" applyProtection="1">
      <alignment horizontal="center"/>
      <protection hidden="1"/>
    </xf>
    <xf numFmtId="0" fontId="82" fillId="16" borderId="13" xfId="2" applyFont="1" applyFill="1" applyBorder="1" applyAlignment="1" applyProtection="1">
      <alignment horizontal="center" vertical="center"/>
      <protection hidden="1"/>
    </xf>
    <xf numFmtId="0" fontId="82" fillId="16" borderId="14" xfId="2" applyFont="1" applyFill="1" applyBorder="1" applyAlignment="1" applyProtection="1">
      <alignment horizontal="center" vertical="center"/>
      <protection hidden="1"/>
    </xf>
    <xf numFmtId="0" fontId="55" fillId="15" borderId="0" xfId="0" quotePrefix="1" applyFont="1" applyFill="1" applyAlignment="1" applyProtection="1">
      <alignment horizontal="center" vertical="center" wrapText="1"/>
      <protection hidden="1"/>
    </xf>
    <xf numFmtId="0" fontId="82" fillId="16" borderId="13" xfId="2" quotePrefix="1" applyFont="1" applyFill="1" applyBorder="1" applyAlignment="1" applyProtection="1">
      <alignment horizontal="center" vertical="center"/>
      <protection hidden="1"/>
    </xf>
    <xf numFmtId="0" fontId="82" fillId="16" borderId="14" xfId="2" quotePrefix="1" applyFont="1" applyFill="1" applyBorder="1" applyAlignment="1" applyProtection="1">
      <alignment horizontal="center" vertical="center"/>
      <protection hidden="1"/>
    </xf>
    <xf numFmtId="0" fontId="82" fillId="16" borderId="65" xfId="2" applyFont="1" applyFill="1" applyBorder="1" applyAlignment="1" applyProtection="1">
      <alignment horizontal="center" vertical="center"/>
      <protection hidden="1"/>
    </xf>
    <xf numFmtId="0" fontId="82" fillId="16" borderId="64" xfId="2" applyFont="1" applyFill="1" applyBorder="1" applyAlignment="1" applyProtection="1">
      <alignment horizontal="center" vertical="center"/>
      <protection hidden="1"/>
    </xf>
    <xf numFmtId="0" fontId="82" fillId="16" borderId="13" xfId="2" quotePrefix="1" applyFont="1" applyFill="1" applyBorder="1" applyAlignment="1" applyProtection="1">
      <alignment horizontal="center"/>
      <protection hidden="1"/>
    </xf>
    <xf numFmtId="0" fontId="82" fillId="16" borderId="14" xfId="2" quotePrefix="1" applyFont="1" applyFill="1" applyBorder="1" applyAlignment="1" applyProtection="1">
      <alignment horizontal="center"/>
      <protection hidden="1"/>
    </xf>
    <xf numFmtId="0" fontId="66" fillId="15" borderId="0" xfId="0" applyFont="1" applyFill="1" applyAlignment="1">
      <alignment horizontal="center"/>
    </xf>
    <xf numFmtId="0" fontId="51" fillId="16" borderId="0" xfId="0" applyFont="1" applyFill="1" applyAlignment="1" applyProtection="1">
      <alignment horizontal="center"/>
      <protection hidden="1"/>
    </xf>
    <xf numFmtId="0" fontId="82" fillId="16" borderId="19" xfId="2" quotePrefix="1" applyFont="1" applyFill="1" applyBorder="1" applyAlignment="1" applyProtection="1">
      <alignment horizontal="center"/>
      <protection hidden="1"/>
    </xf>
    <xf numFmtId="0" fontId="82" fillId="16" borderId="21" xfId="2" quotePrefix="1" applyFont="1" applyFill="1" applyBorder="1" applyAlignment="1" applyProtection="1">
      <alignment horizontal="center"/>
      <protection hidden="1"/>
    </xf>
    <xf numFmtId="0" fontId="80" fillId="16" borderId="81" xfId="0" quotePrefix="1" applyFont="1" applyFill="1" applyBorder="1" applyAlignment="1" applyProtection="1">
      <alignment horizontal="center" vertical="center"/>
      <protection hidden="1"/>
    </xf>
    <xf numFmtId="0" fontId="80" fillId="16" borderId="57" xfId="0" quotePrefix="1" applyFont="1" applyFill="1" applyBorder="1" applyAlignment="1" applyProtection="1">
      <alignment horizontal="center" vertical="center"/>
      <protection hidden="1"/>
    </xf>
    <xf numFmtId="0" fontId="82" fillId="16" borderId="57" xfId="0" quotePrefix="1" applyFont="1" applyFill="1" applyBorder="1" applyAlignment="1" applyProtection="1">
      <alignment horizontal="center" vertical="center"/>
      <protection hidden="1"/>
    </xf>
    <xf numFmtId="0" fontId="82" fillId="16" borderId="57" xfId="0" applyFont="1" applyFill="1" applyBorder="1" applyAlignment="1" applyProtection="1">
      <alignment horizontal="center" vertical="center"/>
      <protection hidden="1"/>
    </xf>
    <xf numFmtId="0" fontId="66" fillId="15" borderId="57" xfId="0" quotePrefix="1" applyFont="1" applyFill="1" applyBorder="1" applyAlignment="1" applyProtection="1">
      <alignment horizontal="center" vertical="center"/>
      <protection hidden="1"/>
    </xf>
    <xf numFmtId="0" fontId="68" fillId="15" borderId="0" xfId="2" applyFont="1" applyFill="1" applyAlignment="1" applyProtection="1">
      <alignment horizontal="center"/>
      <protection hidden="1"/>
    </xf>
    <xf numFmtId="164" fontId="61" fillId="16" borderId="57" xfId="1" applyNumberFormat="1" applyFont="1" applyFill="1" applyBorder="1" applyAlignment="1" applyProtection="1">
      <alignment horizontal="center" vertical="top"/>
      <protection hidden="1"/>
    </xf>
    <xf numFmtId="0" fontId="5" fillId="0" borderId="0" xfId="2" applyFont="1" applyAlignment="1" applyProtection="1">
      <alignment horizontal="center"/>
      <protection hidden="1"/>
    </xf>
    <xf numFmtId="0" fontId="66" fillId="15" borderId="0" xfId="2" applyFont="1" applyFill="1" applyAlignment="1" applyProtection="1">
      <alignment horizontal="center"/>
      <protection hidden="1"/>
    </xf>
    <xf numFmtId="0" fontId="67" fillId="15" borderId="0" xfId="0" applyFont="1" applyFill="1" applyAlignment="1" applyProtection="1">
      <alignment horizontal="center" vertical="center"/>
      <protection hidden="1"/>
    </xf>
    <xf numFmtId="0" fontId="51" fillId="15" borderId="20" xfId="0" applyFont="1" applyFill="1" applyBorder="1" applyAlignment="1" applyProtection="1">
      <alignment horizontal="center" vertical="center"/>
      <protection hidden="1"/>
    </xf>
    <xf numFmtId="165" fontId="12" fillId="12" borderId="58" xfId="2" applyNumberFormat="1" applyFont="1" applyFill="1" applyBorder="1" applyAlignment="1">
      <alignment horizontal="center" vertical="center"/>
    </xf>
    <xf numFmtId="165" fontId="12" fillId="12" borderId="67" xfId="2" applyNumberFormat="1" applyFont="1" applyFill="1" applyBorder="1" applyAlignment="1">
      <alignment horizontal="center" vertical="center"/>
    </xf>
    <xf numFmtId="165" fontId="12" fillId="12" borderId="56" xfId="2" applyNumberFormat="1" applyFont="1" applyFill="1" applyBorder="1" applyAlignment="1">
      <alignment horizontal="center" vertical="center"/>
    </xf>
    <xf numFmtId="0" fontId="14" fillId="13" borderId="47" xfId="2" applyFont="1" applyFill="1" applyBorder="1" applyAlignment="1">
      <alignment horizontal="center" vertical="center" wrapText="1"/>
    </xf>
    <xf numFmtId="0" fontId="14" fillId="13" borderId="46" xfId="2" applyFont="1" applyFill="1" applyBorder="1" applyAlignment="1">
      <alignment horizontal="center" vertical="center" wrapText="1"/>
    </xf>
    <xf numFmtId="0" fontId="19" fillId="0" borderId="20" xfId="5" applyBorder="1" applyAlignment="1">
      <alignment horizontal="left" vertical="center"/>
    </xf>
    <xf numFmtId="0" fontId="28" fillId="0" borderId="59" xfId="2" applyFont="1" applyBorder="1" applyAlignment="1">
      <alignment horizontal="center" vertical="center"/>
    </xf>
    <xf numFmtId="0" fontId="28" fillId="0" borderId="52" xfId="2" applyFont="1" applyBorder="1" applyAlignment="1">
      <alignment horizontal="center" vertical="center"/>
    </xf>
    <xf numFmtId="0" fontId="28" fillId="0" borderId="64" xfId="2" applyFont="1" applyBorder="1" applyAlignment="1">
      <alignment horizontal="center" vertical="center"/>
    </xf>
    <xf numFmtId="0" fontId="28" fillId="0" borderId="40" xfId="2" applyFont="1" applyBorder="1" applyAlignment="1">
      <alignment horizontal="center" vertical="center"/>
    </xf>
    <xf numFmtId="0" fontId="28" fillId="0" borderId="20" xfId="2" applyFont="1" applyBorder="1" applyAlignment="1">
      <alignment horizontal="center" vertical="center"/>
    </xf>
    <xf numFmtId="0" fontId="28" fillId="0" borderId="21" xfId="2" applyFont="1" applyBorder="1" applyAlignment="1">
      <alignment horizontal="center" vertical="center"/>
    </xf>
    <xf numFmtId="0" fontId="28" fillId="0" borderId="17" xfId="2" applyFont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28" fillId="0" borderId="14" xfId="2" applyFont="1" applyBorder="1" applyAlignment="1">
      <alignment horizontal="center" vertical="center"/>
    </xf>
    <xf numFmtId="0" fontId="19" fillId="0" borderId="0" xfId="5" applyAlignment="1">
      <alignment horizontal="left" vertical="center"/>
    </xf>
    <xf numFmtId="165" fontId="12" fillId="12" borderId="68" xfId="2" applyNumberFormat="1" applyFont="1" applyFill="1" applyBorder="1" applyAlignment="1">
      <alignment horizontal="center" vertical="center"/>
    </xf>
    <xf numFmtId="165" fontId="12" fillId="12" borderId="69" xfId="2" applyNumberFormat="1" applyFont="1" applyFill="1" applyBorder="1" applyAlignment="1">
      <alignment horizontal="center" vertical="center"/>
    </xf>
    <xf numFmtId="165" fontId="12" fillId="12" borderId="11" xfId="2" applyNumberFormat="1" applyFont="1" applyFill="1" applyBorder="1" applyAlignment="1">
      <alignment horizontal="center" vertical="center"/>
    </xf>
    <xf numFmtId="0" fontId="24" fillId="13" borderId="37" xfId="2" applyFont="1" applyFill="1" applyBorder="1" applyAlignment="1">
      <alignment horizontal="center" vertical="center"/>
    </xf>
    <xf numFmtId="0" fontId="24" fillId="13" borderId="25" xfId="2" applyFont="1" applyFill="1" applyBorder="1" applyAlignment="1">
      <alignment horizontal="center" vertical="center"/>
    </xf>
    <xf numFmtId="0" fontId="24" fillId="13" borderId="38" xfId="2" applyFont="1" applyFill="1" applyBorder="1" applyAlignment="1">
      <alignment horizontal="center" vertical="center"/>
    </xf>
    <xf numFmtId="0" fontId="19" fillId="0" borderId="0" xfId="5" applyAlignment="1">
      <alignment horizontal="left"/>
    </xf>
    <xf numFmtId="0" fontId="18" fillId="13" borderId="24" xfId="2" quotePrefix="1" applyFont="1" applyFill="1" applyBorder="1" applyAlignment="1">
      <alignment horizontal="center"/>
    </xf>
    <xf numFmtId="0" fontId="18" fillId="13" borderId="23" xfId="2" quotePrefix="1" applyFont="1" applyFill="1" applyBorder="1" applyAlignment="1">
      <alignment horizontal="center"/>
    </xf>
    <xf numFmtId="0" fontId="18" fillId="13" borderId="22" xfId="2" quotePrefix="1" applyFont="1" applyFill="1" applyBorder="1" applyAlignment="1">
      <alignment horizontal="center"/>
    </xf>
    <xf numFmtId="0" fontId="17" fillId="0" borderId="5" xfId="2" applyFont="1" applyBorder="1" applyAlignment="1">
      <alignment horizontal="center" vertical="center" wrapText="1"/>
    </xf>
    <xf numFmtId="0" fontId="17" fillId="0" borderId="9" xfId="2" applyFont="1" applyBorder="1" applyAlignment="1">
      <alignment horizontal="center" vertical="center" wrapText="1"/>
    </xf>
    <xf numFmtId="0" fontId="17" fillId="0" borderId="16" xfId="2" applyFont="1" applyBorder="1" applyAlignment="1">
      <alignment horizontal="center" vertical="center" wrapText="1"/>
    </xf>
    <xf numFmtId="0" fontId="17" fillId="0" borderId="17" xfId="2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17" fillId="0" borderId="15" xfId="2" applyFont="1" applyBorder="1" applyAlignment="1">
      <alignment horizontal="center" vertical="center" wrapText="1"/>
    </xf>
    <xf numFmtId="0" fontId="17" fillId="0" borderId="7" xfId="2" applyFont="1" applyBorder="1" applyAlignment="1">
      <alignment horizontal="center" vertical="center" wrapText="1"/>
    </xf>
    <xf numFmtId="0" fontId="17" fillId="0" borderId="10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28" fillId="0" borderId="59" xfId="2" applyFont="1" applyBorder="1" applyAlignment="1">
      <alignment horizontal="center" vertical="center" wrapText="1"/>
    </xf>
    <xf numFmtId="0" fontId="28" fillId="0" borderId="52" xfId="2" applyFont="1" applyBorder="1" applyAlignment="1">
      <alignment horizontal="center" vertical="center" wrapText="1"/>
    </xf>
    <xf numFmtId="0" fontId="28" fillId="0" borderId="64" xfId="2" applyFont="1" applyBorder="1" applyAlignment="1">
      <alignment horizontal="center" vertical="center" wrapText="1"/>
    </xf>
    <xf numFmtId="0" fontId="28" fillId="0" borderId="40" xfId="2" applyFont="1" applyBorder="1" applyAlignment="1">
      <alignment horizontal="center" vertical="center" wrapText="1"/>
    </xf>
    <xf numFmtId="0" fontId="28" fillId="0" borderId="20" xfId="2" applyFont="1" applyBorder="1" applyAlignment="1">
      <alignment horizontal="center" vertical="center" wrapText="1"/>
    </xf>
    <xf numFmtId="0" fontId="28" fillId="0" borderId="21" xfId="2" applyFont="1" applyBorder="1" applyAlignment="1">
      <alignment horizontal="center" vertical="center" wrapText="1"/>
    </xf>
    <xf numFmtId="0" fontId="23" fillId="13" borderId="32" xfId="2" quotePrefix="1" applyFont="1" applyFill="1" applyBorder="1" applyAlignment="1">
      <alignment horizontal="center" vertical="center"/>
    </xf>
    <xf numFmtId="0" fontId="23" fillId="13" borderId="33" xfId="2" quotePrefix="1" applyFont="1" applyFill="1" applyBorder="1" applyAlignment="1">
      <alignment horizontal="center" vertical="center"/>
    </xf>
    <xf numFmtId="0" fontId="19" fillId="0" borderId="27" xfId="5" applyBorder="1" applyAlignment="1">
      <alignment horizontal="left"/>
    </xf>
    <xf numFmtId="0" fontId="19" fillId="0" borderId="15" xfId="5" applyBorder="1" applyAlignment="1">
      <alignment horizontal="left"/>
    </xf>
    <xf numFmtId="166" fontId="20" fillId="0" borderId="34" xfId="2" applyNumberFormat="1" applyFont="1" applyBorder="1" applyAlignment="1">
      <alignment horizontal="center"/>
    </xf>
    <xf numFmtId="166" fontId="20" fillId="0" borderId="35" xfId="2" applyNumberFormat="1" applyFont="1" applyBorder="1" applyAlignment="1">
      <alignment horizontal="center"/>
    </xf>
    <xf numFmtId="0" fontId="19" fillId="0" borderId="20" xfId="5" applyBorder="1" applyAlignment="1">
      <alignment horizontal="left"/>
    </xf>
    <xf numFmtId="0" fontId="28" fillId="0" borderId="5" xfId="2" applyFont="1" applyBorder="1" applyAlignment="1">
      <alignment horizontal="center" vertical="center" wrapText="1"/>
    </xf>
    <xf numFmtId="0" fontId="28" fillId="0" borderId="9" xfId="2" applyFont="1" applyBorder="1" applyAlignment="1">
      <alignment horizontal="center" vertical="center" wrapText="1"/>
    </xf>
    <xf numFmtId="0" fontId="28" fillId="0" borderId="39" xfId="2" applyFont="1" applyBorder="1" applyAlignment="1">
      <alignment horizontal="center" vertical="center" wrapText="1"/>
    </xf>
    <xf numFmtId="0" fontId="28" fillId="0" borderId="17" xfId="2" applyFont="1" applyBorder="1" applyAlignment="1">
      <alignment horizontal="center" vertical="center" wrapText="1"/>
    </xf>
    <xf numFmtId="0" fontId="28" fillId="0" borderId="0" xfId="2" applyFont="1" applyAlignment="1">
      <alignment horizontal="center" vertical="center" wrapText="1"/>
    </xf>
    <xf numFmtId="0" fontId="28" fillId="0" borderId="14" xfId="2" applyFont="1" applyBorder="1" applyAlignment="1">
      <alignment horizontal="center" vertical="center" wrapText="1"/>
    </xf>
    <xf numFmtId="0" fontId="18" fillId="13" borderId="2" xfId="2" applyFont="1" applyFill="1" applyBorder="1" applyAlignment="1">
      <alignment horizontal="center" vertical="center" wrapText="1"/>
    </xf>
    <xf numFmtId="0" fontId="18" fillId="13" borderId="4" xfId="2" applyFont="1" applyFill="1" applyBorder="1" applyAlignment="1">
      <alignment horizontal="center" vertical="center" wrapText="1"/>
    </xf>
    <xf numFmtId="0" fontId="18" fillId="13" borderId="3" xfId="2" applyFont="1" applyFill="1" applyBorder="1" applyAlignment="1">
      <alignment horizontal="center" vertical="center" wrapText="1"/>
    </xf>
    <xf numFmtId="0" fontId="12" fillId="0" borderId="54" xfId="2" applyFont="1" applyBorder="1" applyAlignment="1">
      <alignment horizontal="center" vertical="center"/>
    </xf>
    <xf numFmtId="0" fontId="12" fillId="0" borderId="57" xfId="2" applyFont="1" applyBorder="1" applyAlignment="1">
      <alignment horizontal="center" vertic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24" fillId="13" borderId="2" xfId="2" quotePrefix="1" applyFont="1" applyFill="1" applyBorder="1" applyAlignment="1">
      <alignment horizontal="center"/>
    </xf>
    <xf numFmtId="0" fontId="24" fillId="13" borderId="4" xfId="2" quotePrefix="1" applyFont="1" applyFill="1" applyBorder="1" applyAlignment="1">
      <alignment horizontal="center"/>
    </xf>
    <xf numFmtId="0" fontId="24" fillId="13" borderId="3" xfId="2" quotePrefix="1" applyFont="1" applyFill="1" applyBorder="1" applyAlignment="1">
      <alignment horizontal="center"/>
    </xf>
    <xf numFmtId="0" fontId="5" fillId="13" borderId="5" xfId="2" applyFont="1" applyFill="1" applyBorder="1" applyAlignment="1">
      <alignment horizontal="center" vertical="center" wrapText="1"/>
    </xf>
    <xf numFmtId="0" fontId="5" fillId="13" borderId="9" xfId="2" applyFont="1" applyFill="1" applyBorder="1" applyAlignment="1">
      <alignment horizontal="center" vertical="center" wrapText="1"/>
    </xf>
    <xf numFmtId="0" fontId="5" fillId="13" borderId="16" xfId="2" applyFont="1" applyFill="1" applyBorder="1" applyAlignment="1">
      <alignment horizontal="center" vertical="center" wrapText="1"/>
    </xf>
    <xf numFmtId="44" fontId="15" fillId="0" borderId="4" xfId="3" applyFont="1" applyBorder="1" applyAlignment="1">
      <alignment horizontal="center"/>
    </xf>
    <xf numFmtId="44" fontId="15" fillId="0" borderId="3" xfId="3" applyFont="1" applyBorder="1" applyAlignment="1">
      <alignment horizontal="center"/>
    </xf>
    <xf numFmtId="0" fontId="23" fillId="13" borderId="17" xfId="2" quotePrefix="1" applyFont="1" applyFill="1" applyBorder="1" applyAlignment="1">
      <alignment horizontal="center" vertical="center"/>
    </xf>
    <xf numFmtId="0" fontId="23" fillId="13" borderId="0" xfId="2" quotePrefix="1" applyFont="1" applyFill="1" applyAlignment="1">
      <alignment horizontal="center" vertical="center"/>
    </xf>
    <xf numFmtId="0" fontId="23" fillId="13" borderId="15" xfId="2" quotePrefix="1" applyFont="1" applyFill="1" applyBorder="1" applyAlignment="1">
      <alignment horizontal="center" vertical="center"/>
    </xf>
    <xf numFmtId="6" fontId="22" fillId="0" borderId="7" xfId="6" applyNumberFormat="1" applyFont="1" applyBorder="1" applyAlignment="1">
      <alignment horizontal="center" vertical="center"/>
    </xf>
    <xf numFmtId="6" fontId="22" fillId="0" borderId="10" xfId="6" applyNumberFormat="1" applyFont="1" applyBorder="1" applyAlignment="1">
      <alignment horizontal="center" vertical="center"/>
    </xf>
    <xf numFmtId="6" fontId="22" fillId="0" borderId="18" xfId="6" applyNumberFormat="1" applyFont="1" applyBorder="1" applyAlignment="1">
      <alignment horizontal="center" vertical="center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9" fillId="0" borderId="10" xfId="5" applyBorder="1" applyAlignment="1">
      <alignment horizontal="left" vertical="center"/>
    </xf>
    <xf numFmtId="0" fontId="28" fillId="0" borderId="7" xfId="2" applyFont="1" applyBorder="1" applyAlignment="1">
      <alignment horizontal="center" vertical="center" wrapText="1"/>
    </xf>
    <xf numFmtId="0" fontId="28" fillId="0" borderId="10" xfId="2" applyFont="1" applyBorder="1" applyAlignment="1">
      <alignment horizontal="center" vertical="center" wrapText="1"/>
    </xf>
    <xf numFmtId="165" fontId="12" fillId="12" borderId="70" xfId="2" applyNumberFormat="1" applyFont="1" applyFill="1" applyBorder="1" applyAlignment="1">
      <alignment horizontal="center" vertical="center"/>
    </xf>
    <xf numFmtId="0" fontId="12" fillId="0" borderId="61" xfId="2" applyFont="1" applyBorder="1" applyAlignment="1">
      <alignment horizontal="center" vertical="center"/>
    </xf>
    <xf numFmtId="0" fontId="12" fillId="0" borderId="62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23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717374"/>
      </font>
      <fill>
        <patternFill>
          <bgColor rgb="FF717374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golendingpros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191201</xdr:colOff>
      <xdr:row>2</xdr:row>
      <xdr:rowOff>0</xdr:rowOff>
    </xdr:from>
    <xdr:to>
      <xdr:col>23</xdr:col>
      <xdr:colOff>846464</xdr:colOff>
      <xdr:row>4</xdr:row>
      <xdr:rowOff>9937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EB65FE-154A-4282-BD3D-CFE82DA54927}"/>
            </a:ext>
          </a:extLst>
        </xdr:cNvPr>
        <xdr:cNvSpPr/>
      </xdr:nvSpPr>
      <xdr:spPr>
        <a:xfrm>
          <a:off x="18526826" y="381000"/>
          <a:ext cx="2072107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BB5F370C-9585-441A-874D-2BF0FA261A55}"/>
            </a:ext>
          </a:extLst>
        </xdr:cNvPr>
        <xdr:cNvSpPr/>
      </xdr:nvSpPr>
      <xdr:spPr>
        <a:xfrm>
          <a:off x="18386612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D46" sqref="D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48" t="s">
        <v>21</v>
      </c>
      <c r="B1" s="248" t="s">
        <v>22</v>
      </c>
      <c r="C1" s="248" t="s">
        <v>3</v>
      </c>
      <c r="D1" s="248" t="s">
        <v>189</v>
      </c>
      <c r="E1" s="248" t="s">
        <v>7</v>
      </c>
      <c r="F1" s="248" t="s">
        <v>23</v>
      </c>
      <c r="G1" s="248" t="s">
        <v>24</v>
      </c>
      <c r="H1" s="248" t="s">
        <v>10</v>
      </c>
      <c r="I1" s="248" t="s">
        <v>9</v>
      </c>
      <c r="J1" s="248" t="s">
        <v>25</v>
      </c>
      <c r="K1" s="248" t="s">
        <v>26</v>
      </c>
      <c r="L1" s="248" t="s">
        <v>5</v>
      </c>
      <c r="M1" s="248" t="s">
        <v>147</v>
      </c>
      <c r="N1" s="248" t="s">
        <v>12</v>
      </c>
      <c r="O1" s="248" t="s">
        <v>162</v>
      </c>
      <c r="P1" s="248" t="s">
        <v>163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291</v>
      </c>
      <c r="C3" s="98" t="s">
        <v>171</v>
      </c>
      <c r="D3" s="48" t="s">
        <v>195</v>
      </c>
      <c r="E3" s="59" t="s">
        <v>142</v>
      </c>
      <c r="F3" s="139" t="s">
        <v>186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177</v>
      </c>
      <c r="P3" s="59" t="s">
        <v>164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190</v>
      </c>
      <c r="E4" s="59" t="s">
        <v>143</v>
      </c>
      <c r="F4" s="59" t="s">
        <v>144</v>
      </c>
      <c r="G4" s="59" t="s">
        <v>153</v>
      </c>
      <c r="H4" s="59" t="s">
        <v>295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168</v>
      </c>
      <c r="O4" s="59" t="s">
        <v>178</v>
      </c>
      <c r="P4" s="59" t="s">
        <v>181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191</v>
      </c>
      <c r="E5" s="59" t="s">
        <v>185</v>
      </c>
      <c r="F5" s="59" t="s">
        <v>145</v>
      </c>
      <c r="G5" s="59" t="s">
        <v>154</v>
      </c>
      <c r="H5" s="59" t="s">
        <v>296</v>
      </c>
      <c r="I5" s="59" t="s">
        <v>300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179</v>
      </c>
      <c r="P5" s="59" t="s">
        <v>165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187</v>
      </c>
      <c r="D6" s="48" t="s">
        <v>192</v>
      </c>
      <c r="E6" s="59" t="s">
        <v>196</v>
      </c>
      <c r="F6" s="59" t="s">
        <v>155</v>
      </c>
      <c r="G6" s="59"/>
      <c r="H6" s="64" t="s">
        <v>297</v>
      </c>
      <c r="I6" s="59" t="s">
        <v>299</v>
      </c>
      <c r="J6" s="59"/>
      <c r="K6" s="59"/>
      <c r="L6" s="48" t="s">
        <v>194</v>
      </c>
      <c r="M6" s="97"/>
      <c r="N6" s="59" t="s">
        <v>183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193</v>
      </c>
      <c r="F7" s="59" t="s">
        <v>156</v>
      </c>
      <c r="G7" s="99"/>
      <c r="H7" s="59"/>
      <c r="I7" s="59"/>
      <c r="J7" s="59"/>
      <c r="K7" s="59"/>
      <c r="L7" s="48" t="s">
        <v>290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237</v>
      </c>
      <c r="F8" s="59" t="s">
        <v>188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45" t="s">
        <v>121</v>
      </c>
      <c r="B38" s="244"/>
      <c r="C38" s="59"/>
      <c r="D38" s="59"/>
      <c r="E38" s="245" t="s">
        <v>159</v>
      </c>
      <c r="F38" s="246"/>
      <c r="G38" s="245" t="s">
        <v>158</v>
      </c>
      <c r="H38" s="246"/>
      <c r="I38" s="245" t="s">
        <v>172</v>
      </c>
      <c r="J38" s="246"/>
      <c r="K38" s="245" t="s">
        <v>218</v>
      </c>
      <c r="L38" s="246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30" t="s">
        <v>217</v>
      </c>
      <c r="B39" s="131" t="str" cm="1">
        <f t="array" ref="B39">IF(AND(OR('Closed End Seconds (LP)'!U10=B12:B13),'Closed End Seconds (LP)'!U16=E5),NA(),"")</f>
        <v/>
      </c>
      <c r="C39" s="59"/>
      <c r="D39" s="59"/>
      <c r="E39" s="125" t="s">
        <v>244</v>
      </c>
      <c r="F39" s="151" t="str">
        <f>IF(AND(
ISNUMBER(MATCH('Closed End Seconds (LP)'!U17, F3:F7, 0)),
ISNUMBER(MATCH('Closed End Seconds (LP)'!U18, I3, 0)),
ISNUMBER(MATCH('Closed End Seconds (LP)'!U10, B11, 0)),
ISNUMBER(MATCH('Closed End Seconds (LP)'!U11, A9:A10, 0)),
'Closed End Seconds (LP)'!U13=C4
), NA(), "")</f>
        <v/>
      </c>
      <c r="G39" s="155" t="s">
        <v>225</v>
      </c>
      <c r="H39" s="151"/>
      <c r="I39" s="155" t="s">
        <v>228</v>
      </c>
      <c r="J39" s="151" t="str" cm="1">
        <f t="array" ref="J39">IF(AND(OR('Closed End Seconds (LP)'!U17=F3:F6),OR('Closed End Seconds (LP)'!U18=I3),OR('Closed End Seconds (LP)'!U10=B10:B11),OR('Closed End Seconds (LP)'!U11=A3:A10),OR('Closed End Seconds (LP)'!U13=C3)),NA(),"")</f>
        <v/>
      </c>
      <c r="K39" s="149" t="s">
        <v>229</v>
      </c>
      <c r="L39" s="242" t="str" cm="1">
        <f t="array" ref="L39">IF(AND(OR('Closed End Seconds (LP)'!U17=F8),OR('Closed End Seconds (LP)'!U18=I5),OR('Closed End Seconds (LP)'!U10=B8:B11),OR('Closed End Seconds (LP)'!U13=C6)),NA(),"")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32"/>
      <c r="B40" s="133"/>
      <c r="C40" s="59"/>
      <c r="D40" s="59"/>
      <c r="E40" s="125" t="s">
        <v>219</v>
      </c>
      <c r="F40" s="152" t="str">
        <f>IF(AND(
ISNUMBER(MATCH('Closed End Seconds (LP)'!U17, F3:F7, 0)),
ISNUMBER(MATCH('Closed End Seconds (LP)'!U18, I3, 0)),
ISNUMBER(MATCH('Closed End Seconds (LP)'!U10, B10:B11, 0)),
ISNUMBER(MATCH('Closed End Seconds (LP)'!U11, A9:A10, 0)),
'Closed End Seconds (LP)'!U13=C4
), NA(), "")</f>
        <v/>
      </c>
      <c r="G40" s="150" t="s">
        <v>226</v>
      </c>
      <c r="H40" s="153" t="str">
        <f>IF(AND(
ISNUMBER(MATCH('Closed End Seconds (LP)'!U17, F3:F6, 0)),
ISNUMBER(MATCH('Closed End Seconds (LP)'!U18, I3, 0)),
ISNUMBER(MATCH('Closed End Seconds (LP)'!U10, B10:B11, 0)),
ISNUMBER(MATCH('Closed End Seconds (LP)'!U11, A8:A10, 0)),
'Closed End Seconds (LP)'!U13=C5
), NA(), "")</f>
        <v/>
      </c>
      <c r="I40" s="155" t="s">
        <v>227</v>
      </c>
      <c r="J40" s="152" t="str" cm="1">
        <f t="array" ref="J40">IF(AND(OR('Closed End Seconds (LP)'!U17=F3:F6),OR('Closed End Seconds (LP)'!U18=I3),OR('Closed End Seconds (LP)'!U10=B9:B11),OR('Closed End Seconds (LP)'!U11=A9:A10),OR('Closed End Seconds (LP)'!U13=C3)),NA(),"")</f>
        <v/>
      </c>
      <c r="K40" s="149" t="s">
        <v>230</v>
      </c>
      <c r="L40" s="242" t="str" cm="1">
        <f t="array" ref="L40">IF(AND(OR('Closed End Seconds (LP)'!U17=F3:F6),OR('Closed End Seconds (LP)'!U18=I5),OR('Closed End Seconds (LP)'!U10=B8:B11),OR('Closed End Seconds (LP)'!U11=A10),OR('Closed End Seconds (LP)'!U13=C6)),NA(),"")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32" t="s">
        <v>184</v>
      </c>
      <c r="B41" s="133" t="str">
        <f>IF('Closed End Seconds (LP)'!U21=N6,NA(),"")</f>
        <v/>
      </c>
      <c r="C41" s="59"/>
      <c r="D41" s="59"/>
      <c r="E41" s="125" t="s">
        <v>292</v>
      </c>
      <c r="F41" s="152" t="str" cm="1">
        <f t="array" ref="F41">IF(AND(OR('Closed End Seconds (LP)'!U17=F3:F6),OR('Closed End Seconds (LP)'!U18=I3),OR('Closed End Seconds (LP)'!U10=B10:B11),OR('Closed End Seconds (LP)'!U11=A10)),NA(),"")</f>
        <v/>
      </c>
      <c r="G41" s="150" t="s">
        <v>227</v>
      </c>
      <c r="H41" s="146" t="str">
        <f>IF(AND(
ISNUMBER(MATCH('Closed End Seconds (LP)'!U17, F3:F6, 0)),
ISNUMBER(MATCH('Closed End Seconds (LP)'!U18, I3, 0)),
ISNUMBER(MATCH('Closed End Seconds (LP)'!U10, B10:B11, 0)),
ISNUMBER(MATCH('Closed End Seconds (LP)'!U11, A9:A10, 0)),
'Closed End Seconds (LP)'!U13=C5
), NA(), "")</f>
        <v/>
      </c>
      <c r="I41" s="155" t="s">
        <v>203</v>
      </c>
      <c r="J41" s="147" t="str" cm="1">
        <f t="array" ref="J41">IF(AND(OR('Closed End Seconds (LP)'!U17=F7),OR('Closed End Seconds (LP)'!U18=I3),OR('Closed End Seconds (LP)'!U10=B9:B11),OR('Closed End Seconds (LP)'!U13=C3)),NA(),"")</f>
        <v/>
      </c>
      <c r="K41" s="149" t="s">
        <v>231</v>
      </c>
      <c r="L41" s="242" t="str" cm="1">
        <f t="array" ref="L41">IF(AND(OR('Closed End Seconds (LP)'!U17=F3:F6),OR('Closed End Seconds (LP)'!U18=I5),OR('Closed End Seconds (LP)'!U10=B7:B11),OR('Closed End Seconds (LP)'!U11=A9),OR('Closed End Seconds (LP)'!U13=C6)),NA(),"")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32" t="s">
        <v>157</v>
      </c>
      <c r="B42" s="133" t="str" cm="1">
        <f t="array" ref="B42">IF(AND(OR('Closed End Seconds (LP)'!U10=B11:B13),OR('Closed End Seconds (LP)'!U19=H4:H5)),NA(),"")</f>
        <v/>
      </c>
      <c r="C42" s="59"/>
      <c r="D42" s="59"/>
      <c r="E42" s="143" t="s">
        <v>245</v>
      </c>
      <c r="F42" s="153" t="str">
        <f>IF(AND(
ISNUMBER(MATCH('Closed End Seconds (LP)'!U17, F8, 0)),
ISNUMBER(MATCH('Closed End Seconds (LP)'!U18, I3, 0)),
ISNUMBER(MATCH('Closed End Seconds (LP)'!U10, B8:B11, 0)),
ISNUMBER(MATCH('Closed End Seconds (LP)'!U11, A10, 0)),
'Closed End Seconds (LP)'!U13=C4
), NA(), "")</f>
        <v/>
      </c>
      <c r="G42" s="155" t="s">
        <v>232</v>
      </c>
      <c r="H42" s="147" t="str" cm="1">
        <f t="array" ref="H42">IF(AND(OR('Closed End Seconds (LP)'!U17=F3:F8),OR('Closed End Seconds (LP)'!U18=I3),OR('Closed End Seconds (LP)'!U10=B9:B11),OR('Closed End Seconds (LP)'!U11=A10),OR('Closed End Seconds (LP)'!U13=C5)),NA(),"")</f>
        <v/>
      </c>
      <c r="I42" s="155" t="s">
        <v>214</v>
      </c>
      <c r="J42" s="147" t="str" cm="1">
        <f t="array" ref="J42">IF(AND(OR('Closed End Seconds (LP)'!U17=F7),OR('Closed End Seconds (LP)'!U18=I3),OR('Closed End Seconds (LP)'!U11=A8:A10),OR('Closed End Seconds (LP)'!U13=C3)),NA(),"")</f>
        <v/>
      </c>
      <c r="K42" s="149" t="s">
        <v>233</v>
      </c>
      <c r="L42" s="242" t="str" cm="1">
        <f t="array" ref="L42">IF(AND(OR('Closed End Seconds (LP)'!U17=F3:F6),OR('Closed End Seconds (LP)'!U18=I5),OR('Closed End Seconds (LP)'!U10=B6:B11),OR('Closed End Seconds (LP)'!U11=A10),OR('Closed End Seconds (LP)'!U13=C6)),NA(),"")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32" t="s">
        <v>160</v>
      </c>
      <c r="B43" s="128" t="str">
        <f>IF(AND(OR('Closed End Seconds (LP)'!U18=I4),OR('Closed End Seconds (LP)'!U19=H4)),NA(),"")</f>
        <v/>
      </c>
      <c r="C43" s="59"/>
      <c r="D43" s="59"/>
      <c r="E43" s="143" t="s">
        <v>246</v>
      </c>
      <c r="F43" s="153" t="str">
        <f>IF(AND(
ISNUMBER(MATCH('Closed End Seconds (LP)'!U17, F8, 0)),
ISNUMBER(MATCH('Closed End Seconds (LP)'!U18, I3, 0)),
ISNUMBER(MATCH('Closed End Seconds (LP)'!U10, B9:B11, 0)),
ISNUMBER(MATCH('Closed End Seconds (LP)'!U11, A9:A10, 0)),
'Closed End Seconds (LP)'!U13=C4
), NA(), "")</f>
        <v/>
      </c>
      <c r="G43" s="150" t="s">
        <v>249</v>
      </c>
      <c r="H43" s="146" t="str">
        <f>IF(AND(
ISNUMBER(MATCH('Closed End Seconds (LP)'!U17, F7:F8, 0)),
ISNUMBER(MATCH('Closed End Seconds (LP)'!U18, I3, 0)),
ISNUMBER(MATCH('Closed End Seconds (LP)'!U10, B9:B11, 0)),
ISNUMBER(MATCH('Closed End Seconds (LP)'!U11, A9:A10, 0)),
'Closed End Seconds (LP)'!U13=C5
), NA(), "")</f>
        <v/>
      </c>
      <c r="I43" s="155" t="s">
        <v>215</v>
      </c>
      <c r="J43" s="147" t="str" cm="1">
        <f t="array" ref="J43">IF(AND(OR('Closed End Seconds (LP)'!U17=F8),OR('Closed End Seconds (LP)'!U18=I3),OR('Closed End Seconds (LP)'!U11=A8:A10),OR('Closed End Seconds (LP)'!U13=C3)),NA(),"")</f>
        <v/>
      </c>
      <c r="K43" s="149" t="s">
        <v>206</v>
      </c>
      <c r="L43" s="242" t="str" cm="1">
        <f t="array" ref="L43">IF(AND(OR('Closed End Seconds (LP)'!U17=F7),OR('Closed End Seconds (LP)'!U18=I5),OR('Closed End Seconds (LP)'!U10=B7:B11),OR('Closed End Seconds (LP)'!U13=C6)),NA(),"")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7" t="s">
        <v>180</v>
      </c>
      <c r="B44" s="128" t="str">
        <f>IF(AND('Closed End Seconds (LP)'!U13=C3,'Closed End Seconds (LP)'!U22=O4),NA(),"")</f>
        <v/>
      </c>
      <c r="D44" s="59"/>
      <c r="E44" s="125" t="s">
        <v>197</v>
      </c>
      <c r="F44" s="147" t="str" cm="1">
        <f t="array" ref="F44">IF(AND(OR('Closed End Seconds (LP)'!U17=F7),OR('Closed End Seconds (LP)'!U18=I3),OR('Closed End Seconds (LP)'!U10=B8:B11),OR('Closed End Seconds (LP)'!U11=A10)),NA(),"")</f>
        <v/>
      </c>
      <c r="G44" s="155" t="s">
        <v>204</v>
      </c>
      <c r="H44" s="154"/>
      <c r="I44" s="150"/>
      <c r="J44" s="153"/>
      <c r="K44" s="149" t="s">
        <v>207</v>
      </c>
      <c r="L44" s="242" t="str" cm="1">
        <f t="array" ref="L44">IF(AND(OR('Closed End Seconds (LP)'!U17=F7),OR('Closed End Seconds (LP)'!U18=I5),OR('Closed End Seconds (LP)'!U10=B6:B11),OR('Closed End Seconds (LP)'!U11=A8:A10),OR('Closed End Seconds (LP)'!U13=C6)),NA(),"")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7" t="s">
        <v>166</v>
      </c>
      <c r="B45" s="128" t="str">
        <f>IF('Closed End Seconds (LP)'!U22=O3,NA(),"")</f>
        <v/>
      </c>
      <c r="D45" s="59"/>
      <c r="E45" s="145" t="s">
        <v>220</v>
      </c>
      <c r="F45" s="154"/>
      <c r="G45" s="155" t="s">
        <v>205</v>
      </c>
      <c r="H45" s="154"/>
      <c r="I45" s="243" t="s">
        <v>216</v>
      </c>
      <c r="J45" s="156" t="str" cm="1">
        <f t="array" ref="J45">IF(AND(OR('Closed End Seconds (LP)'!U10=B7:B11),OR('Closed End Seconds (LP)'!U19=H4),OR('Closed End Seconds (LP)'!U17=F8)),NA(),"")</f>
        <v/>
      </c>
      <c r="K45" s="149" t="s">
        <v>208</v>
      </c>
      <c r="L45" s="242" t="str" cm="1">
        <f t="array" ref="L45">IF(AND(OR('Closed End Seconds (LP)'!U17=F7),OR('Closed End Seconds (LP)'!U18=I5),OR('Closed End Seconds (LP)'!U10=B5:B11),OR('Closed End Seconds (LP)'!U11=A9:A10),OR('Closed End Seconds (LP)'!U13=C6)),NA(),"")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32" t="s">
        <v>182</v>
      </c>
      <c r="B46" s="133" t="str">
        <f>IF(AND('Closed End Seconds (LP)'!U13=C3,'Closed End Seconds (LP)'!U23=P3),NA(),"")</f>
        <v/>
      </c>
      <c r="C46" s="59"/>
      <c r="D46" s="59"/>
      <c r="E46" s="126" t="s">
        <v>221</v>
      </c>
      <c r="F46" s="147"/>
      <c r="G46" s="150" t="s">
        <v>248</v>
      </c>
      <c r="H46" s="146" t="str" cm="1">
        <f t="array" ref="H46">IF(AND(OR('Closed End Seconds (LP)'!U17=F7:F8),OR('Closed End Seconds (LP)'!U18=I3),OR('Closed End Seconds (LP)'!U10=B8:B11),OR('Closed End Seconds (LP)'!U11=A10),OR('Closed End Seconds (LP)'!U13=C5)),NA(),"")</f>
        <v/>
      </c>
      <c r="K46" s="149" t="s">
        <v>209</v>
      </c>
      <c r="L46" s="242" t="str" cm="1">
        <f t="array" ref="L46">IF(AND(OR('Closed End Seconds (LP)'!U17=F7),OR('Closed End Seconds (LP)'!U18=I5),OR('Closed End Seconds (LP)'!U10=B4:B11),OR('Closed End Seconds (LP)'!U11=A10),OR('Closed End Seconds (LP)'!U13=C6)),NA(),"")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32" t="s">
        <v>167</v>
      </c>
      <c r="B47" s="133" t="str">
        <f>IF('Closed End Seconds (LP)'!U23=P5,NA(),"")</f>
        <v/>
      </c>
      <c r="D47" s="59"/>
      <c r="E47" s="144" t="s">
        <v>256</v>
      </c>
      <c r="F47" s="146" t="str">
        <f>IF(AND(
ISNUMBER(MATCH('Closed End Seconds (LP)'!U17, F3:F6, 0)),
ISNUMBER(MATCH('Closed End Seconds (LP)'!U18, I5, 0)),
ISNUMBER(MATCH('Closed End Seconds (LP)'!U10, B9:B11, 0)),
ISNUMBER(MATCH('Closed End Seconds (LP)'!U11, A10, 0)),
'Closed End Seconds (LP)'!U13=C4
), NA(), "")</f>
        <v/>
      </c>
      <c r="G47" s="150" t="s">
        <v>229</v>
      </c>
      <c r="H47" s="146" t="str" cm="1">
        <f t="array" ref="H47">IF(AND(OR('Closed End Seconds (LP)'!U17=F3:F6),OR('Closed End Seconds (LP)'!U18=I5),OR('Closed End Seconds (LP)'!U10=B10:B11),OR('Closed End Seconds (LP)'!U13=C5)),NA(),"")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7" t="s">
        <v>169</v>
      </c>
      <c r="B48" s="128" t="str">
        <f>IF(E143="","",IF('Closed End Seconds (LP)'!U9&gt;E143,NA(),""))</f>
        <v/>
      </c>
      <c r="C48" s="59"/>
      <c r="D48" s="59"/>
      <c r="E48" s="145" t="s">
        <v>198</v>
      </c>
      <c r="F48" s="154"/>
      <c r="G48" s="155" t="s">
        <v>230</v>
      </c>
      <c r="H48" s="147" t="str" cm="1">
        <f t="array" ref="H48">IF(AND(OR('Closed End Seconds (LP)'!U17=F3:F6),OR('Closed End Seconds (LP)'!U18=I5),OR('Closed End Seconds (LP)'!U10=B8:B11),OR('Closed End Seconds (LP)'!U11=A9:A10),OR('Closed End Seconds (LP)'!U13=C5)),NA(),"")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32"/>
      <c r="B49" s="133"/>
      <c r="C49" s="59"/>
      <c r="D49" s="59"/>
      <c r="E49" s="126" t="s">
        <v>199</v>
      </c>
      <c r="F49" s="147" t="str" cm="1">
        <f t="array" ref="F49">IF(AND(OR('Closed End Seconds (LP)'!U17=F7),OR('Closed End Seconds (LP)'!U18=I5),OR('Closed End Seconds (LP)'!U10=B9:B11),OR('Closed End Seconds (LP)'!U11=A8)),NA(),"")</f>
        <v/>
      </c>
      <c r="G49" s="155" t="s">
        <v>231</v>
      </c>
      <c r="H49" s="147" t="str" cm="1">
        <f t="array" ref="H49">IF(AND(OR('Closed End Seconds (LP)'!U17=F3:F6),OR('Closed End Seconds (LP)'!U18=I5),OR('Closed End Seconds (LP)'!U10=B8:B11),OR('Closed End Seconds (LP)'!U11=A9),OR('Closed End Seconds (LP)'!U13=C5)),NA(),"")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32"/>
      <c r="B50" s="133"/>
      <c r="C50" s="59"/>
      <c r="D50" s="59"/>
      <c r="E50" s="144" t="s">
        <v>259</v>
      </c>
      <c r="F50" s="146" t="str" cm="1">
        <f t="array" ref="F50">IF(AND(OR('Closed End Seconds (LP)'!U17=F7),OR('Closed End Seconds (LP)'!U18=I5),OR('Closed End Seconds (LP)'!U10=B11),OR('Closed End Seconds (LP)'!U11=A9:A10)),NA(),"")</f>
        <v/>
      </c>
      <c r="G50" s="155" t="s">
        <v>233</v>
      </c>
      <c r="H50" s="147" t="str" cm="1">
        <f t="array" ref="H50">IF(AND(OR('Closed End Seconds (LP)'!U17=F3:F6),OR('Closed End Seconds (LP)'!U18=I5),OR('Closed End Seconds (LP)'!U10=B7:B11),OR('Closed End Seconds (LP)'!U11=A10),OR('Closed End Seconds (LP)'!U13=C5)),NA(),"")</f>
        <v/>
      </c>
      <c r="I50" s="155" t="s">
        <v>175</v>
      </c>
      <c r="J50" s="151" t="str" cm="1">
        <f t="array" ref="J50">IF(AND(OR('Closed End Seconds (LP)'!U13=C3),OR('Closed End Seconds (LP)'!U18=I4:I5)),NA(),"")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9"/>
      <c r="B51" s="133"/>
      <c r="C51" s="103"/>
      <c r="D51" s="59"/>
      <c r="E51" s="144" t="s">
        <v>257</v>
      </c>
      <c r="F51" s="146" t="str">
        <f>IF(AND(
ISNUMBER(MATCH('Closed End Seconds (LP)'!U17, F7, 0)),
ISNUMBER(MATCH('Closed End Seconds (LP)'!U18, I5, 0)),
ISNUMBER(MATCH('Closed End Seconds (LP)'!U10, B8:B11, 0)),
ISNUMBER(MATCH('Closed End Seconds (LP)'!U11, A10, 0)),
'Closed End Seconds (LP)'!U13=C4
), NA(), "")</f>
        <v/>
      </c>
      <c r="G51" s="155" t="s">
        <v>206</v>
      </c>
      <c r="H51" s="147"/>
      <c r="I51" s="243" t="s">
        <v>173</v>
      </c>
      <c r="J51" s="157" t="str">
        <f>IF(AND(OR('Closed End Seconds (LP)'!U13=C3),OR('Closed End Seconds (LP)'!U19=H4)),NA(),"")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32"/>
      <c r="B52" s="133"/>
      <c r="C52" s="103"/>
      <c r="D52" s="59"/>
      <c r="E52" s="126" t="s">
        <v>222</v>
      </c>
      <c r="F52" s="147" t="str" cm="1">
        <f t="array" ref="F52">IF(AND(OR('Closed End Seconds (LP)'!U17=F3:F6),OR('Closed End Seconds (LP)'!U18=I4),OR('Closed End Seconds (LP)'!U10=B10:B11)),NA(),"")</f>
        <v/>
      </c>
      <c r="G52" s="155" t="s">
        <v>207</v>
      </c>
      <c r="H52" s="147" t="str" cm="1">
        <f t="array" ref="H52">IF(AND(OR('Closed End Seconds (LP)'!U17=F7),OR('Closed End Seconds (LP)'!U18=I5),OR('Closed End Seconds (LP)'!U10=B6:B11),OR('Closed End Seconds (LP)'!U11=A10),OR('Closed End Seconds (LP)'!U13=C5)),NA(),"")</f>
        <v/>
      </c>
      <c r="I52" s="155" t="s">
        <v>174</v>
      </c>
      <c r="J52" s="147" t="str">
        <f>IF(AND(OR('Closed End Seconds (LP)'!U13=C3),OR('Closed End Seconds (LP)'!U12=M4)),NA(),"")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4"/>
      <c r="B53" s="133"/>
      <c r="C53" s="103"/>
      <c r="D53" s="59"/>
      <c r="E53" s="126" t="s">
        <v>223</v>
      </c>
      <c r="F53" s="147" t="str" cm="1">
        <f t="array" ref="F53">IF(AND(OR('Closed End Seconds (LP)'!U17=F3:F6),OR('Closed End Seconds (LP)'!U18=I4),OR('Closed End Seconds (LP)'!U10=B9:B11),OR('Closed End Seconds (LP)'!U11=A9:A10)),NA(),"")</f>
        <v/>
      </c>
      <c r="G53" s="155" t="s">
        <v>208</v>
      </c>
      <c r="H53" s="147" t="str" cm="1">
        <f t="array" ref="H53">IF(AND(OR('Closed End Seconds (LP)'!U17=F8),OR('Closed End Seconds (LP)'!U18=I5),OR('Closed End Seconds (LP)'!U10=B5:B11),OR('Closed End Seconds (LP)'!U11=A10),OR('Closed End Seconds (LP)'!U13=C5)),NA(),"")</f>
        <v/>
      </c>
      <c r="I53" s="155" t="s">
        <v>176</v>
      </c>
      <c r="J53" s="148" t="str">
        <f>IF(AND(OR('Closed End Seconds (LP)'!U11=A10),OR('Closed End Seconds (LP)'!U13=C3)),NA(),"")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4"/>
      <c r="B54" s="133"/>
      <c r="C54" s="103"/>
      <c r="D54" s="59"/>
      <c r="E54" s="126" t="s">
        <v>224</v>
      </c>
      <c r="F54" s="147" t="str" cm="1">
        <f t="array" ref="F54">IF(AND(OR('Closed End Seconds (LP)'!U17=F3:F6),OR('Closed End Seconds (LP)'!U18=I4),OR('Closed End Seconds (LP)'!U10=B6:B11),OR('Closed End Seconds (LP)'!U11=A10)),NA(),"")</f>
        <v/>
      </c>
      <c r="G54" s="155" t="s">
        <v>209</v>
      </c>
      <c r="H54" s="147" t="str" cm="1">
        <f t="array" ref="H54">IF(AND(OR('Closed End Seconds (LP)'!U17=F8),OR('Closed End Seconds (LP)'!U18=I5),OR('Closed End Seconds (LP)'!U10=B4:B11),OR('Closed End Seconds (LP)'!U11=A9),OR('Closed End Seconds (LP)'!U13=C5)),NA(),"")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4"/>
      <c r="B55" s="128"/>
      <c r="D55" s="59"/>
      <c r="E55" s="126" t="s">
        <v>200</v>
      </c>
      <c r="F55" s="147" t="str" cm="1">
        <f t="array" ref="F55">IF(AND(OR('Closed End Seconds (LP)'!U17=F7),OR('Closed End Seconds (LP)'!U18=I4),OR('Closed End Seconds (LP)'!U10=B8:B11)),NA(),"")</f>
        <v/>
      </c>
      <c r="G55" s="155" t="s">
        <v>234</v>
      </c>
      <c r="H55" s="147" t="str" cm="1">
        <f t="array" ref="H55">IF(AND(OR('Closed End Seconds (LP)'!U17=F3:F6),OR('Closed End Seconds (LP)'!U18=I4),OR('Closed End Seconds (LP)'!U10=B9:B11),OR('Closed End Seconds (LP)'!U13=C5)),NA(),"")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4"/>
      <c r="B56" s="128"/>
      <c r="D56" s="59"/>
      <c r="E56" s="126" t="s">
        <v>201</v>
      </c>
      <c r="F56" s="147" t="str" cm="1">
        <f t="array" ref="F56">IF(AND(OR('Closed End Seconds (LP)'!U17=F7),OR('Closed End Seconds (LP)'!U18=I4),OR('Closed End Seconds (LP)'!U10=B7:B11),OR('Closed End Seconds (LP)'!U11=A9:A10)),NA(),"")</f>
        <v/>
      </c>
      <c r="G56" s="155" t="s">
        <v>235</v>
      </c>
      <c r="H56" s="147" t="str" cm="1">
        <f t="array" ref="H56">IF(AND(OR('Closed End Seconds (LP)'!U17=F3:F6),OR('Closed End Seconds (LP)'!U18=I4),OR('Closed End Seconds (LP)'!U10=B8:B11),OR('Closed End Seconds (LP)'!U11=A8:A10),OR('Closed End Seconds (LP)'!U13=C5)),NA(),"")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4"/>
      <c r="B57" s="128"/>
      <c r="D57" s="59"/>
      <c r="E57" s="126" t="s">
        <v>202</v>
      </c>
      <c r="F57" s="147" t="str" cm="1">
        <f t="array" ref="F57">IF(AND(OR('Closed End Seconds (LP)'!U17=F7),OR('Closed End Seconds (LP)'!U18=I4),OR('Closed End Seconds (LP)'!U10=B6:B11),OR('Closed End Seconds (LP)'!U11=A10)),NA(),"")</f>
        <v/>
      </c>
      <c r="G57" s="155" t="s">
        <v>236</v>
      </c>
      <c r="H57" s="147" t="str" cm="1">
        <f t="array" ref="H57">IF(AND(OR('Closed End Seconds (LP)'!U17=F3:F6),OR('Closed End Seconds (LP)'!U18=I4),OR('Closed End Seconds (LP)'!U10=B7:B11),OR('Closed End Seconds (LP)'!U11=A9:A10),OR('Closed End Seconds (LP)'!U13=C5)),NA(),"")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4"/>
      <c r="B58" s="128"/>
      <c r="D58" s="59"/>
      <c r="E58" s="143" t="s">
        <v>247</v>
      </c>
      <c r="F58" s="147" t="str">
        <f>IF(AND(ISNUMBER(MATCH('Closed End Seconds (LP)'!U17,F8,0)),ISNUMBER(MATCH('Closed End Seconds (LP)'!U18,I3,0)),ISNUMBER(MATCH('Closed End Seconds (LP)'!U10,B10:B11,0)),
ISNUMBER(MATCH('Closed End Seconds (LP)'!U11,A3:A10,0)),'Closed End Seconds (LP)'!U13=C4),NA(),"")</f>
        <v/>
      </c>
      <c r="G58" s="155" t="s">
        <v>224</v>
      </c>
      <c r="H58" s="147" t="str" cm="1">
        <f t="array" ref="H58">IF(AND(OR('Closed End Seconds (LP)'!U17=F3:F6),OR('Closed End Seconds (LP)'!U18=I4),OR('Closed End Seconds (LP)'!U10=B6:B11),OR('Closed End Seconds (LP)'!U11=A10),OR('Closed End Seconds (LP)'!U13=C5)),NA(),"")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4"/>
      <c r="B59" s="133"/>
      <c r="C59" s="59"/>
      <c r="E59" s="144" t="s">
        <v>258</v>
      </c>
      <c r="F59" s="147" t="str">
        <f>IF(AND(
ISNUMBER(MATCH('Closed End Seconds (LP)'!U17,F8,0)),ISNUMBER(MATCH('Closed End Seconds (LP)'!U18,I5,0)),ISNUMBER(MATCH('Closed End Seconds (LP)'!U10,B7:B11,0)),
ISNUMBER(MATCH('Closed End Seconds (LP)'!U11,A10,0)),'Closed End Seconds (LP)'!U13=C4),NA(),"")</f>
        <v/>
      </c>
      <c r="G59" s="155" t="s">
        <v>210</v>
      </c>
      <c r="H59" s="147" t="str" cm="1">
        <f t="array" ref="H59">IF(AND(OR('Closed End Seconds (LP)'!U17=F7),OR('Closed End Seconds (LP)'!U18=I4),OR('Closed End Seconds (LP)'!U10=B7:B11),OR('Closed End Seconds (LP)'!U13=C5)),NA(),"")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9"/>
      <c r="B60" s="133"/>
      <c r="E60" s="144" t="s">
        <v>260</v>
      </c>
      <c r="F60" s="147" t="str">
        <f>IF(AND(ISNUMBER(MATCH('Closed End Seconds (LP)'!U17,F3:F6,0)),ISNUMBER(MATCH('Closed End Seconds (LP)'!U18,I5,0)),
ISNUMBER(MATCH('Closed End Seconds (LP)'!U10,B9:B11,0)),ISNUMBER(MATCH('Closed End Seconds (LP)'!U11,A10,0)),'Closed End Seconds (LP)'!U13=C4),NA(),"")</f>
        <v/>
      </c>
      <c r="G60" s="155" t="s">
        <v>211</v>
      </c>
      <c r="H60" s="147" t="str" cm="1">
        <f t="array" ref="H60">IF(AND(OR('Closed End Seconds (LP)'!U17=F7),OR('Closed End Seconds (LP)'!U18=I4),OR('Closed End Seconds (LP)'!U10=B6:B11),OR('Closed End Seconds (LP)'!U11=A8:A10),OR('Closed End Seconds (LP)'!U13=C5)),NA(),"")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9"/>
      <c r="B61" s="133"/>
      <c r="E61" s="144" t="s">
        <v>261</v>
      </c>
      <c r="F61" s="147" t="str">
        <f>IF(AND(
ISNUMBER(MATCH('Closed End Seconds (LP)'!U17, F7, 0)),
ISNUMBER(MATCH('Closed End Seconds (LP)'!U18, I5, 0)),
ISNUMBER(MATCH('Closed End Seconds (LP)'!U10, B7:B11, 0)),
ISNUMBER(MATCH('Closed End Seconds (LP)'!U11, A10, 0)),
'Closed End Seconds (LP)'!U13=C4
), NA(), "")</f>
        <v/>
      </c>
      <c r="G61" s="155" t="s">
        <v>212</v>
      </c>
      <c r="H61" s="147" t="str" cm="1">
        <f t="array" ref="H61">IF(AND(OR('Closed End Seconds (LP)'!U17=F7),OR('Closed End Seconds (LP)'!U18=I4),OR('Closed End Seconds (LP)'!U10=B5:B11),OR('Closed End Seconds (LP)'!U11=A9:A10),OR('Closed End Seconds (LP)'!U13=C5)),NA(),"")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7"/>
      <c r="B62" s="128"/>
      <c r="E62" s="144" t="s">
        <v>262</v>
      </c>
      <c r="F62" s="147" t="str">
        <f>IF(AND(
ISNUMBER(MATCH('Closed End Seconds (LP)'!U17, F8, 0)),
ISNUMBER(MATCH('Closed End Seconds (LP)'!U18, I5, 0)),
ISNUMBER(MATCH('Closed End Seconds (LP)'!U10, B6:B11, 0)),
ISNUMBER(MATCH('Closed End Seconds (LP)'!U11, A10, 0)),
'Closed End Seconds (LP)'!U13=C4
), NA(), "")</f>
        <v/>
      </c>
      <c r="G62" s="155" t="s">
        <v>213</v>
      </c>
      <c r="H62" s="147" t="str" cm="1">
        <f t="array" ref="H62">IF(AND(OR('Closed End Seconds (LP)'!U17=F7),OR('Closed End Seconds (LP)'!U18=I4),OR('Closed End Seconds (LP)'!U10=B4:B11),OR('Closed End Seconds (LP)'!U11=A10),OR('Closed End Seconds (LP)'!U13=C5)),NA(),"")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5"/>
      <c r="B63" s="136" t="str" cm="1">
        <f t="array" ref="B63">IF(AND(OR('Closed End Seconds (LP)'!U10=B11:B12),OR('Closed End Seconds (LP)'!U20=J5:J6,'Closed End Seconds (LP)'!U20=J9,'Closed End Seconds (LP)'!U20=J12)),NA(),"")</f>
        <v/>
      </c>
      <c r="E63" s="144" t="s">
        <v>263</v>
      </c>
      <c r="F63" s="147" t="str">
        <f>IF(AND(
ISNUMBER(MATCH('Closed End Seconds (LP)'!U17, F8, 0)),
ISNUMBER(MATCH('Closed End Seconds (LP)'!U18, I5, 0)),
ISNUMBER(MATCH('Closed End Seconds (LP)'!U10, B7:B11, 0)),
ISNUMBER(MATCH('Closed End Seconds (LP)'!U11, A9, 0)),
'Closed End Seconds (LP)'!U13=C4
), NA(), "")</f>
        <v/>
      </c>
      <c r="G63" s="150" t="s">
        <v>251</v>
      </c>
      <c r="H63" s="147" t="str">
        <f>IF(AND(
ISNUMBER(MATCH('Closed End Seconds (LP)'!U17, F8, 0)),
ISNUMBER(MATCH('Closed End Seconds (LP)'!U18, I3, 0)),
ISNUMBER(MATCH('Closed End Seconds (LP)'!U10, B8:B11, 0)),
ISNUMBER(MATCH('Closed End Seconds (LP)'!U11, A9:A10, 0)),
'Closed End Seconds (LP)'!U13=C5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7" t="s">
        <v>120</v>
      </c>
      <c r="B64" s="138">
        <f>SUM(B39:B63)+SUM(F39:F76)+SUM(H39:H76)+SUM(L39:L71)+SUM(J39:J71)+SUM(Z43:Z45)+SUM(AD43)</f>
        <v>0</v>
      </c>
      <c r="E64" s="144" t="s">
        <v>264</v>
      </c>
      <c r="F64" s="147" t="str">
        <f>IF(AND(
ISNUMBER(MATCH('Closed End Seconds (LP)'!U17, F7, 0)),
ISNUMBER(MATCH('Closed End Seconds (LP)'!U18, I5, 0)),
ISNUMBER(MATCH('Closed End Seconds (LP)'!U10, B8:B11, 0)),
ISNUMBER(MATCH('Closed End Seconds (LP)'!U11, A9, 0)),
'Closed End Seconds (LP)'!U13=C4
), NA(), "")</f>
        <v/>
      </c>
      <c r="G64" s="150" t="s">
        <v>250</v>
      </c>
      <c r="H64" s="146" t="str">
        <f>IF(AND(
ISNUMBER(MATCH('Closed End Seconds (LP)'!U17, F7:F8, 0)),
ISNUMBER(MATCH('Closed End Seconds (LP)'!U18, I3, 0)),
ISNUMBER(MATCH('Closed End Seconds (LP)'!U10, B10:B11, 0)),
ISNUMBER(MATCH('Closed End Seconds (LP)'!U11, A8:A10, 0)),
'Closed End Seconds (LP)'!U13=C5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4" t="s">
        <v>265</v>
      </c>
      <c r="F65" s="147" t="str">
        <f>IF(AND(
ISNUMBER(MATCH('Closed End Seconds (LP)'!U17, F3:F6, 0)),
ISNUMBER(MATCH('Closed End Seconds (LP)'!U18, I5, 0)),
ISNUMBER(MATCH('Closed End Seconds (LP)'!U10, B10:B11, 0)),
ISNUMBER(MATCH('Closed End Seconds (LP)'!U11, A9, 0)),
'Closed End Seconds (LP)'!U13=C4
), NA(), "")</f>
        <v/>
      </c>
      <c r="G65" s="150" t="s">
        <v>252</v>
      </c>
      <c r="H65" s="147" t="str">
        <f>IF(AND(
ISNUMBER(MATCH('Closed End Seconds (LP)'!U17, F8, 0)),
ISNUMBER(MATCH('Closed End Seconds (LP)'!U18, I3, 0)),
ISNUMBER(MATCH('Closed End Seconds (LP)'!U10, B9:B11, 0)),
ISNUMBER(MATCH('Closed End Seconds (LP)'!U11, A8:A10, 0)),
'Closed End Seconds (LP)'!U13=C5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4" t="s">
        <v>266</v>
      </c>
      <c r="F66" s="147" t="str">
        <f>IF(AND(
ISNUMBER(MATCH('Closed End Seconds (LP)'!U17, F3:F6, 0)),
ISNUMBER(MATCH('Closed End Seconds (LP)'!U18, I5, 0)),
ISNUMBER(MATCH('Closed End Seconds (LP)'!U10, B11, 0)),
ISNUMBER(MATCH('Closed End Seconds (LP)'!U11, A3:A8, 0)),
'Closed End Seconds (LP)'!U13=C4
), NA(), "")</f>
        <v/>
      </c>
      <c r="G66" s="150" t="s">
        <v>253</v>
      </c>
      <c r="H66" s="147" t="str">
        <f>IF(AND(
ISNUMBER(MATCH('Closed End Seconds (LP)'!U17, F7:F8, 0)),
ISNUMBER(MATCH('Closed End Seconds (LP)'!U18, I3, 0)),
ISNUMBER(MATCH('Closed End Seconds (LP)'!U10, B11, 0)),
ISNUMBER(MATCH('Closed End Seconds (LP)'!U11, A3:A7, 0)),
'Closed End Seconds (LP)'!U13=C5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50" t="s">
        <v>294</v>
      </c>
      <c r="B67" s="251" t="b" cm="1">
        <f t="array" ref="B67">IF(OR('Closed End Seconds (LP)'!U10=B3:B11),0.25)</f>
        <v>0</v>
      </c>
      <c r="C67"/>
      <c r="E67" s="144" t="s">
        <v>267</v>
      </c>
      <c r="F67" s="147" t="str">
        <f>IF(AND(
ISNUMBER(MATCH('Closed End Seconds (LP)'!U17, F7, 0)),
ISNUMBER(MATCH('Closed End Seconds (LP)'!U18, I5, 0)),
ISNUMBER(MATCH('Closed End Seconds (LP)'!U10, B9:B11, 0)),
ISNUMBER(MATCH('Closed End Seconds (LP)'!U11, A8, 0)),
'Closed End Seconds (LP)'!U13=C4
), NA(), "")</f>
        <v/>
      </c>
      <c r="G67" s="150" t="s">
        <v>254</v>
      </c>
      <c r="H67" s="147" t="str">
        <f>IF(AND(
ISNUMBER(MATCH('Closed End Seconds (LP)'!U17, F8, 0)),
ISNUMBER(MATCH('Closed End Seconds (LP)'!U18, I3, 0)),
ISNUMBER(MATCH('Closed End Seconds (LP)'!U10, B10:B11, 0)),
ISNUMBER(MATCH('Closed End Seconds (LP)'!U11, A3:A7, 0)),
'Closed End Seconds (LP)'!U13=C5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4" t="s">
        <v>268</v>
      </c>
      <c r="F68" s="147" t="str">
        <f>IF(AND(
ISNUMBER(MATCH('Closed End Seconds (LP)'!U17, F8, 0)),
ISNUMBER(MATCH('Closed End Seconds (LP)'!U18, I5, 0)),
ISNUMBER(MATCH('Closed End Seconds (LP)'!U10, B8:B11, 0)),
ISNUMBER(MATCH('Closed End Seconds (LP)'!U11, A8, 0)),
'Closed End Seconds (LP)'!U13=C4
), NA(), "")</f>
        <v/>
      </c>
      <c r="G68" s="150" t="s">
        <v>255</v>
      </c>
      <c r="H68" s="147" t="str">
        <f>IF(AND(
ISNUMBER(MATCH('Closed End Seconds (LP)'!U17, F8, 0)),
ISNUMBER(MATCH('Closed End Seconds (LP)'!U18, I3, 0)),
ISNUMBER(MATCH('Closed End Seconds (LP)'!U10, B7:B11, 0)),
ISNUMBER(MATCH('Closed End Seconds (LP)'!U11, A10, 0)),
'Closed End Seconds (LP)'!U13=C5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4" t="s">
        <v>269</v>
      </c>
      <c r="F69" s="147" t="str">
        <f>IF(AND(
ISNUMBER(MATCH('Closed End Seconds (LP)'!U17, F7, 0)),
ISNUMBER(MATCH('Closed End Seconds (LP)'!U18, I5, 0)),
ISNUMBER(MATCH('Closed End Seconds (LP)'!U10, B10:B11, 0)),
ISNUMBER(MATCH('Closed End Seconds (LP)'!U11, A3:A7, 0)),
'Closed End Seconds (LP)'!U13=C4
), NA(), "")</f>
        <v/>
      </c>
      <c r="G69" s="150" t="s">
        <v>271</v>
      </c>
      <c r="H69" s="147" t="str">
        <f>IF(AND(
ISNUMBER(MATCH('Closed End Seconds (LP)'!U17, F8, 0)),
ISNUMBER(MATCH('Closed End Seconds (LP)'!U18, I5, 0)),
ISNUMBER(MATCH('Closed End Seconds (LP)'!U10, B7:B11, 0)),
ISNUMBER(MATCH('Closed End Seconds (LP)'!U11, A10, 0)),
'Closed End Seconds (LP)'!U13=C5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4" t="s">
        <v>270</v>
      </c>
      <c r="F70" s="148" t="str">
        <f>IF(AND(
ISNUMBER(MATCH('Closed End Seconds (LP)'!U17, F8, 0)),
ISNUMBER(MATCH('Closed End Seconds (LP)'!U18, I5, 0)),
ISNUMBER(MATCH('Closed End Seconds (LP)'!U10, B9:B11, 0)),
ISNUMBER(MATCH('Closed End Seconds (LP)'!U11, A3:A7, 0)),
'Closed End Seconds (LP)'!U13=C4
), NA(), "")</f>
        <v/>
      </c>
      <c r="G70" s="150" t="s">
        <v>272</v>
      </c>
      <c r="H70" s="147" t="str">
        <f>IF(AND(
ISNUMBER(MATCH('Closed End Seconds (LP)'!U17, F7, 0)),
ISNUMBER(MATCH('Closed End Seconds (LP)'!U18, I5, 0)),
ISNUMBER(MATCH('Closed End Seconds (LP)'!U10, B8:B11, 0)),
ISNUMBER(MATCH('Closed End Seconds (LP)'!U11, A8, 0)),
'Closed End Seconds (LP)'!U13=C5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3" t="s">
        <v>273</v>
      </c>
      <c r="H71" s="147" t="str">
        <f>IF(AND(
ISNUMBER(MATCH('Closed End Seconds (LP)'!U17, F8, 0)),
ISNUMBER(MATCH('Closed End Seconds (LP)'!U18, I5, 0)),
ISNUMBER(MATCH('Closed End Seconds (LP)'!U10, B7:B11, 0)),
ISNUMBER(MATCH('Closed End Seconds (LP)'!U11, A8, 0)),
'Closed End Seconds (LP)'!U13=C5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3" t="s">
        <v>274</v>
      </c>
      <c r="H72" s="147" t="str">
        <f>IF(AND(
ISNUMBER(MATCH('Closed End Seconds (LP)'!U17, F7, 0)),
ISNUMBER(MATCH('Closed End Seconds (LP)'!U18, I5, 0)),
ISNUMBER(MATCH('Closed End Seconds (LP)'!U10, B10:B11, 0)),
ISNUMBER(MATCH('Closed End Seconds (LP)'!U11, A3:A7, 0)),
'Closed End Seconds (LP)'!U13=C5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3" t="s">
        <v>275</v>
      </c>
      <c r="H73" s="148" t="str">
        <f>IF(AND(
ISNUMBER(MATCH('Closed End Seconds (LP)'!U17, F8, 0)),
ISNUMBER(MATCH('Closed End Seconds (LP)'!U18, I5, 0)),
ISNUMBER(MATCH('Closed End Seconds (LP)'!U10, B8:B11, 0)),
ISNUMBER(MATCH('Closed End Seconds (LP)'!U11, A3:A7, 0)),
'Closed End Seconds (LP)'!U13=C5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65" t="s">
        <v>0</v>
      </c>
      <c r="C80" s="266"/>
      <c r="D80" s="266"/>
      <c r="E80" s="266"/>
      <c r="F80"/>
      <c r="I80" s="140" t="s">
        <v>0</v>
      </c>
      <c r="J80" s="141"/>
      <c r="K80" s="141"/>
      <c r="L80" s="142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187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187</v>
      </c>
      <c r="M81"/>
      <c r="N81" s="81">
        <v>0</v>
      </c>
    </row>
    <row r="82" spans="2:37">
      <c r="B82" s="92">
        <f>'Closed End Seconds (LP)'!B12</f>
        <v>7.25</v>
      </c>
      <c r="C82" s="93">
        <f>'Closed End Seconds (LP)'!C12</f>
        <v>98.625</v>
      </c>
      <c r="D82" s="93">
        <f>'Closed End Seconds (LP)'!D12</f>
        <v>98.125</v>
      </c>
      <c r="E82" s="105" t="e">
        <f>'Closed End Seconds (LP)'!E12</f>
        <v>#N/A</v>
      </c>
      <c r="F82"/>
      <c r="G82" s="52">
        <f>SUM('Closed End Seconds (LP)'!V11:V25)+B64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98.625</v>
      </c>
      <c r="K82" s="94">
        <f t="shared" ref="K82:K95" si="2">D82+$G$82</f>
        <v>98.125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(LP)'!B13</f>
        <v>7.375</v>
      </c>
      <c r="C83" s="1">
        <f>'Closed End Seconds (LP)'!C13</f>
        <v>99.25</v>
      </c>
      <c r="D83" s="1">
        <f>'Closed End Seconds (LP)'!D13</f>
        <v>98.75</v>
      </c>
      <c r="E83" s="106" t="e">
        <f>'Closed End Seconds (LP)'!E13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99.25</v>
      </c>
      <c r="K83" s="69">
        <f t="shared" si="2"/>
        <v>98.75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(LP)'!B14</f>
        <v>7.4989999999999997</v>
      </c>
      <c r="C84" s="1">
        <f>'Closed End Seconds (LP)'!C14</f>
        <v>99.875</v>
      </c>
      <c r="D84" s="1">
        <f>'Closed End Seconds (LP)'!D14</f>
        <v>99.375</v>
      </c>
      <c r="E84" s="106" t="e">
        <f>'Closed End Seconds (LP)'!E14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99.875</v>
      </c>
      <c r="K84" s="69">
        <f t="shared" si="2"/>
        <v>99.375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(LP)'!B15</f>
        <v>7.625</v>
      </c>
      <c r="C85" s="1">
        <f>'Closed End Seconds (LP)'!C15</f>
        <v>100.3125</v>
      </c>
      <c r="D85" s="1">
        <f>'Closed End Seconds (LP)'!D15</f>
        <v>99.8125</v>
      </c>
      <c r="E85" s="106" t="e">
        <f>'Closed End Seconds (LP)'!E15</f>
        <v>#N/A</v>
      </c>
      <c r="F85"/>
      <c r="G85" s="52" t="e">
        <f>'Closed End Seconds (LP)'!V30</f>
        <v>#N/A</v>
      </c>
      <c r="H85" s="53">
        <v>4</v>
      </c>
      <c r="I85" s="68">
        <f t="shared" si="0"/>
        <v>7.625</v>
      </c>
      <c r="J85" s="69">
        <f t="shared" si="1"/>
        <v>100.3125</v>
      </c>
      <c r="K85" s="69">
        <f t="shared" si="2"/>
        <v>99.8125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(LP)'!B16</f>
        <v>7.75</v>
      </c>
      <c r="C86" s="1">
        <f>'Closed End Seconds (LP)'!C16</f>
        <v>100.75</v>
      </c>
      <c r="D86" s="1">
        <f>'Closed End Seconds (LP)'!D16</f>
        <v>100.25</v>
      </c>
      <c r="E86" s="106" t="e">
        <f>'Closed End Seconds (LP)'!E16</f>
        <v>#N/A</v>
      </c>
      <c r="F86"/>
      <c r="H86" s="53">
        <v>5</v>
      </c>
      <c r="I86" s="68">
        <f t="shared" si="0"/>
        <v>7.75</v>
      </c>
      <c r="J86" s="69">
        <f t="shared" si="1"/>
        <v>100.75</v>
      </c>
      <c r="K86" s="69">
        <f t="shared" si="2"/>
        <v>100.25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(LP)'!B17</f>
        <v>7.875</v>
      </c>
      <c r="C87" s="1">
        <f>'Closed End Seconds (LP)'!C17</f>
        <v>101.1875</v>
      </c>
      <c r="D87" s="1">
        <f>'Closed End Seconds (LP)'!D17</f>
        <v>100.6875</v>
      </c>
      <c r="E87" s="106" t="e">
        <f>'Closed End Seconds (LP)'!E17</f>
        <v>#N/A</v>
      </c>
      <c r="F87"/>
      <c r="H87" s="53">
        <v>6</v>
      </c>
      <c r="I87" s="68">
        <f t="shared" si="0"/>
        <v>7.875</v>
      </c>
      <c r="J87" s="69">
        <f t="shared" si="1"/>
        <v>101.1875</v>
      </c>
      <c r="K87" s="69">
        <f t="shared" si="2"/>
        <v>100.6875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(LP)'!B18</f>
        <v>7.9989999999999997</v>
      </c>
      <c r="C88" s="1">
        <f>'Closed End Seconds (LP)'!C18</f>
        <v>101.59375</v>
      </c>
      <c r="D88" s="1">
        <f>'Closed End Seconds (LP)'!D18</f>
        <v>101.09375</v>
      </c>
      <c r="E88" s="106" t="e">
        <f>'Closed End Seconds (LP)'!E18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101.59375</v>
      </c>
      <c r="K88" s="69">
        <f t="shared" si="2"/>
        <v>101.09375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(LP)'!B19</f>
        <v>8.125</v>
      </c>
      <c r="C89" s="1">
        <f>'Closed End Seconds (LP)'!C19</f>
        <v>102</v>
      </c>
      <c r="D89" s="1">
        <f>'Closed End Seconds (LP)'!D19</f>
        <v>101.5</v>
      </c>
      <c r="E89" s="106" t="e">
        <f>'Closed End Seconds (LP)'!E19</f>
        <v>#N/A</v>
      </c>
      <c r="F89"/>
      <c r="G89" s="48" t="str">
        <f>IF('Closed End Seconds (LP)'!U13=C3,C4,'Closed End Seconds (LP)'!U13)</f>
        <v>Choose a Selection</v>
      </c>
      <c r="H89" s="53">
        <v>8</v>
      </c>
      <c r="I89" s="68">
        <f t="shared" si="0"/>
        <v>8.125</v>
      </c>
      <c r="J89" s="69">
        <f t="shared" si="1"/>
        <v>102</v>
      </c>
      <c r="K89" s="69">
        <f t="shared" si="2"/>
        <v>101.5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(LP)'!B20</f>
        <v>8.25</v>
      </c>
      <c r="C90" s="1">
        <f>'Closed End Seconds (LP)'!C20</f>
        <v>102.40625</v>
      </c>
      <c r="D90" s="1">
        <f>'Closed End Seconds (LP)'!D20</f>
        <v>101.90625</v>
      </c>
      <c r="E90" s="106" t="e">
        <f>'Closed End Seconds (LP)'!E20</f>
        <v>#N/A</v>
      </c>
      <c r="F90"/>
      <c r="H90" s="53">
        <v>9</v>
      </c>
      <c r="I90" s="68">
        <f t="shared" si="0"/>
        <v>8.25</v>
      </c>
      <c r="J90" s="69">
        <f t="shared" si="1"/>
        <v>102.40625</v>
      </c>
      <c r="K90" s="69">
        <f t="shared" si="2"/>
        <v>101.90625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(LP)'!B21</f>
        <v>8.375</v>
      </c>
      <c r="C91" s="1">
        <f>'Closed End Seconds (LP)'!C21</f>
        <v>102.78125</v>
      </c>
      <c r="D91" s="1">
        <f>'Closed End Seconds (LP)'!D21</f>
        <v>102.28125</v>
      </c>
      <c r="E91" s="106" t="e">
        <f>'Closed End Seconds (LP)'!E21</f>
        <v>#N/A</v>
      </c>
      <c r="F91"/>
      <c r="H91" s="53">
        <v>10</v>
      </c>
      <c r="I91" s="68">
        <f t="shared" si="0"/>
        <v>8.375</v>
      </c>
      <c r="J91" s="69">
        <f t="shared" si="1"/>
        <v>102.78125</v>
      </c>
      <c r="K91" s="69">
        <f t="shared" si="2"/>
        <v>102.28125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(LP)'!B22</f>
        <v>8.4990000000000006</v>
      </c>
      <c r="C92" s="1">
        <f>'Closed End Seconds (LP)'!C22</f>
        <v>103.15625</v>
      </c>
      <c r="D92" s="1">
        <f>'Closed End Seconds (LP)'!D22</f>
        <v>102.65625</v>
      </c>
      <c r="E92" s="106">
        <f>'Closed End Seconds (LP)'!E22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103.15625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 (LP)'!B23</f>
        <v>8.625</v>
      </c>
      <c r="C93" s="1">
        <f>'Closed End Seconds (LP)'!C23</f>
        <v>103.53125</v>
      </c>
      <c r="D93" s="1">
        <f>'Closed End Seconds (LP)'!D23</f>
        <v>103.03125</v>
      </c>
      <c r="E93" s="106">
        <f>'Closed End Seconds (LP)'!E23</f>
        <v>100.15</v>
      </c>
      <c r="F93"/>
      <c r="H93" s="53">
        <v>12</v>
      </c>
      <c r="I93" s="68">
        <f t="shared" si="0"/>
        <v>8.625</v>
      </c>
      <c r="J93" s="69">
        <f t="shared" si="1"/>
        <v>103.53125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 (LP)'!B24</f>
        <v>8.75</v>
      </c>
      <c r="C94" s="1">
        <f>'Closed End Seconds (LP)'!C24</f>
        <v>103.84375</v>
      </c>
      <c r="D94" s="1">
        <f>'Closed End Seconds (LP)'!D24</f>
        <v>103.34375</v>
      </c>
      <c r="E94" s="106">
        <f>'Closed End Seconds (LP)'!E24</f>
        <v>100.4</v>
      </c>
      <c r="F94"/>
      <c r="H94" s="53">
        <v>13</v>
      </c>
      <c r="I94" s="68">
        <f t="shared" si="0"/>
        <v>8.75</v>
      </c>
      <c r="J94" s="69">
        <f t="shared" si="1"/>
        <v>103.84375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 (LP)'!B25</f>
        <v>8.875</v>
      </c>
      <c r="C95" s="1">
        <f>'Closed End Seconds (LP)'!C25</f>
        <v>104.15625</v>
      </c>
      <c r="D95" s="1">
        <f>'Closed End Seconds (LP)'!D25</f>
        <v>103.65625</v>
      </c>
      <c r="E95" s="106">
        <f>'Closed End Seconds (LP)'!E25</f>
        <v>100.65</v>
      </c>
      <c r="F95"/>
      <c r="H95" s="53">
        <v>14</v>
      </c>
      <c r="I95" s="68">
        <f t="shared" si="0"/>
        <v>8.875</v>
      </c>
      <c r="J95" s="69">
        <f t="shared" si="1"/>
        <v>104.15625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 (LP)'!B26</f>
        <v>8.9990000000000006</v>
      </c>
      <c r="C96" s="1">
        <f>'Closed End Seconds (LP)'!C26</f>
        <v>104.46875</v>
      </c>
      <c r="D96" s="1">
        <f>'Closed End Seconds (LP)'!D26</f>
        <v>103.96875</v>
      </c>
      <c r="E96" s="106">
        <f>'Closed End Seconds (LP)'!E26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104.46875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(LP)'!B27</f>
        <v>9.125</v>
      </c>
      <c r="C97" s="1">
        <f>'Closed End Seconds (LP)'!C27</f>
        <v>104.78125</v>
      </c>
      <c r="D97" s="1">
        <f>'Closed End Seconds (LP)'!D27</f>
        <v>104.28125</v>
      </c>
      <c r="E97" s="106">
        <f>'Closed End Seconds (LP)'!E27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104.78125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(LP)'!B28</f>
        <v>9.25</v>
      </c>
      <c r="C98" s="1">
        <f>'Closed End Seconds (LP)'!C28</f>
        <v>105.09375</v>
      </c>
      <c r="D98" s="1">
        <f>'Closed End Seconds (LP)'!D28</f>
        <v>104.59375</v>
      </c>
      <c r="E98" s="106">
        <f>'Closed End Seconds (LP)'!E28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105.09375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(LP)'!B29</f>
        <v>9.375</v>
      </c>
      <c r="C99" s="1">
        <f>'Closed End Seconds (LP)'!C29</f>
        <v>105.375</v>
      </c>
      <c r="D99" s="1">
        <f>'Closed End Seconds (LP)'!D29</f>
        <v>104.875</v>
      </c>
      <c r="E99" s="106">
        <f>'Closed End Seconds (LP)'!E29</f>
        <v>101.65</v>
      </c>
      <c r="F99"/>
      <c r="H99" s="53">
        <v>18</v>
      </c>
      <c r="I99" s="83">
        <f t="shared" si="0"/>
        <v>9.375</v>
      </c>
      <c r="J99" s="84">
        <f t="shared" si="4"/>
        <v>105.375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(LP)'!B30</f>
        <v>9.4990000000000006</v>
      </c>
      <c r="C100" s="1">
        <f>'Closed End Seconds (LP)'!C30</f>
        <v>105.65625</v>
      </c>
      <c r="D100" s="1">
        <f>'Closed End Seconds (LP)'!D30</f>
        <v>105.15625</v>
      </c>
      <c r="E100" s="106">
        <f>'Closed End Seconds (LP)'!E30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105.65625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(LP)'!B31</f>
        <v>9.625</v>
      </c>
      <c r="C101" s="1">
        <f>'Closed End Seconds (LP)'!C31</f>
        <v>105.9375</v>
      </c>
      <c r="D101" s="1">
        <f>'Closed End Seconds (LP)'!D31</f>
        <v>105.4375</v>
      </c>
      <c r="E101" s="106">
        <f>'Closed End Seconds (LP)'!E31</f>
        <v>102.15</v>
      </c>
      <c r="F101"/>
      <c r="H101" s="53">
        <v>20</v>
      </c>
      <c r="I101" s="68">
        <f t="shared" si="0"/>
        <v>9.625</v>
      </c>
      <c r="J101" s="69">
        <f t="shared" si="4"/>
        <v>105.9375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(LP)'!B32</f>
        <v>9.75</v>
      </c>
      <c r="C102" s="1">
        <f>'Closed End Seconds (LP)'!C32</f>
        <v>106.125</v>
      </c>
      <c r="D102" s="1">
        <f>'Closed End Seconds (LP)'!D32</f>
        <v>105.625</v>
      </c>
      <c r="E102" s="106">
        <f>'Closed End Seconds (LP)'!E32</f>
        <v>102.4</v>
      </c>
      <c r="F102"/>
      <c r="H102" s="53">
        <v>21</v>
      </c>
      <c r="I102" s="68">
        <f t="shared" si="0"/>
        <v>9.75</v>
      </c>
      <c r="J102" s="69">
        <f t="shared" si="4"/>
        <v>106.125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(LP)'!B33</f>
        <v>9.875</v>
      </c>
      <c r="C103" s="1">
        <f>'Closed End Seconds (LP)'!C33</f>
        <v>106.3125</v>
      </c>
      <c r="D103" s="1">
        <f>'Closed End Seconds (LP)'!D33</f>
        <v>105.8125</v>
      </c>
      <c r="E103" s="106">
        <f>'Closed End Seconds (LP)'!E33</f>
        <v>102.65</v>
      </c>
      <c r="F103"/>
      <c r="H103" s="53">
        <v>22</v>
      </c>
      <c r="I103" s="68">
        <f t="shared" si="0"/>
        <v>9.875</v>
      </c>
      <c r="J103" s="69">
        <f t="shared" si="4"/>
        <v>106.3125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(LP)'!B34</f>
        <v>9.9990000000000006</v>
      </c>
      <c r="C104" s="1">
        <f>'Closed End Seconds (LP)'!C34</f>
        <v>106.5</v>
      </c>
      <c r="D104" s="1">
        <f>'Closed End Seconds (LP)'!D34</f>
        <v>106</v>
      </c>
      <c r="E104" s="106">
        <f>'Closed End Seconds (LP)'!E34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(LP)'!B35</f>
        <v>10.125</v>
      </c>
      <c r="C105" s="1">
        <f>'Closed End Seconds (LP)'!C35</f>
        <v>106.6875</v>
      </c>
      <c r="D105" s="1">
        <f>'Closed End Seconds (LP)'!D35</f>
        <v>106.1875</v>
      </c>
      <c r="E105" s="106">
        <f>'Closed End Seconds (LP)'!E35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106.6875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(LP)'!B36</f>
        <v>10.25</v>
      </c>
      <c r="C106" s="1">
        <f>'Closed End Seconds (LP)'!C36</f>
        <v>106.875</v>
      </c>
      <c r="D106" s="1">
        <f>'Closed End Seconds (LP)'!D36</f>
        <v>106.375</v>
      </c>
      <c r="E106" s="106">
        <f>'Closed End Seconds (LP)'!E36</f>
        <v>103.4</v>
      </c>
      <c r="F106"/>
      <c r="H106" s="53">
        <v>25</v>
      </c>
      <c r="I106" s="68">
        <f t="shared" si="0"/>
        <v>10.25</v>
      </c>
      <c r="J106" s="69">
        <f t="shared" si="4"/>
        <v>106.875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(LP)'!B37</f>
        <v>10.375</v>
      </c>
      <c r="C107" s="1">
        <f>'Closed End Seconds (LP)'!C37</f>
        <v>107.0625</v>
      </c>
      <c r="D107" s="1">
        <f>'Closed End Seconds (LP)'!D37</f>
        <v>106.5625</v>
      </c>
      <c r="E107" s="106">
        <f>'Closed End Seconds (LP)'!E37</f>
        <v>103.65</v>
      </c>
      <c r="F107"/>
      <c r="H107" s="53">
        <v>26</v>
      </c>
      <c r="I107" s="68">
        <f t="shared" si="0"/>
        <v>10.375</v>
      </c>
      <c r="J107" s="69">
        <f t="shared" si="4"/>
        <v>107.0625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(LP)'!B38</f>
        <v>10.499000000000001</v>
      </c>
      <c r="C108" s="1">
        <f>'Closed End Seconds (LP)'!C38</f>
        <v>107.25</v>
      </c>
      <c r="D108" s="1">
        <f>'Closed End Seconds (LP)'!D38</f>
        <v>106.75</v>
      </c>
      <c r="E108" s="106">
        <f>'Closed End Seconds (LP)'!E38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107.25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(LP)'!B39</f>
        <v>10.625</v>
      </c>
      <c r="C109" s="1">
        <f>'Closed End Seconds (LP)'!C39</f>
        <v>107.4375</v>
      </c>
      <c r="D109" s="1">
        <f>'Closed End Seconds (LP)'!D39</f>
        <v>106.9375</v>
      </c>
      <c r="E109" s="106">
        <f>'Closed End Seconds (LP)'!E39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107.4375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(LP)'!B40</f>
        <v>10.75</v>
      </c>
      <c r="C110" s="1">
        <f>'Closed End Seconds (LP)'!C40</f>
        <v>107.625</v>
      </c>
      <c r="D110" s="1">
        <f>'Closed End Seconds (LP)'!D40</f>
        <v>107.125</v>
      </c>
      <c r="E110" s="106">
        <f>'Closed End Seconds (LP)'!E40</f>
        <v>105.15</v>
      </c>
      <c r="F110"/>
      <c r="H110" s="53">
        <v>29</v>
      </c>
      <c r="I110" s="68">
        <f t="shared" si="0"/>
        <v>10.75</v>
      </c>
      <c r="J110" s="69">
        <f t="shared" si="4"/>
        <v>107.625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(LP)'!B41</f>
        <v>10.875</v>
      </c>
      <c r="C111" s="1">
        <f>'Closed End Seconds (LP)'!C41</f>
        <v>107.8125</v>
      </c>
      <c r="D111" s="1">
        <f>'Closed End Seconds (LP)'!D41</f>
        <v>107.3125</v>
      </c>
      <c r="E111" s="106">
        <f>'Closed End Seconds (LP)'!E41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107.8125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(LP)'!B42</f>
        <v>10.999000000000001</v>
      </c>
      <c r="C112" s="1">
        <f>'Closed End Seconds (LP)'!C42</f>
        <v>108</v>
      </c>
      <c r="D112" s="1">
        <f>'Closed End Seconds (LP)'!D42</f>
        <v>107.5</v>
      </c>
      <c r="E112" s="106">
        <f>'Closed End Seconds (LP)'!E42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108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(LP)'!B43</f>
        <v>11.125</v>
      </c>
      <c r="C113" s="1">
        <f>'Closed End Seconds (LP)'!C43</f>
        <v>108.1875</v>
      </c>
      <c r="D113" s="1">
        <f>'Closed End Seconds (LP)'!D43</f>
        <v>107.6875</v>
      </c>
      <c r="E113" s="106">
        <f>'Closed End Seconds (LP)'!E43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108.1875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(LP)'!B44</f>
        <v>11.25</v>
      </c>
      <c r="C114" s="1">
        <f>'Closed End Seconds (LP)'!C44</f>
        <v>108.375</v>
      </c>
      <c r="D114" s="1">
        <f>'Closed End Seconds (LP)'!D44</f>
        <v>107.875</v>
      </c>
      <c r="E114" s="106">
        <f>'Closed End Seconds (LP)'!E44</f>
        <v>106.4</v>
      </c>
      <c r="F114"/>
      <c r="H114" s="53">
        <v>33</v>
      </c>
      <c r="I114" s="68">
        <f t="shared" si="7"/>
        <v>11.25</v>
      </c>
      <c r="J114" s="69">
        <f t="shared" si="8"/>
        <v>108.375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(LP)'!B45</f>
        <v>11.375</v>
      </c>
      <c r="C115" s="1">
        <f>'Closed End Seconds (LP)'!C45</f>
        <v>108.5625</v>
      </c>
      <c r="D115" s="1">
        <f>'Closed End Seconds (LP)'!D45</f>
        <v>108.0625</v>
      </c>
      <c r="E115" s="106">
        <f>'Closed End Seconds (LP)'!E45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108.5625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(LP)'!B46</f>
        <v>11.499000000000001</v>
      </c>
      <c r="C116" s="1">
        <f>'Closed End Seconds (LP)'!C46</f>
        <v>108.75</v>
      </c>
      <c r="D116" s="1">
        <f>'Closed End Seconds (LP)'!D46</f>
        <v>108.25</v>
      </c>
      <c r="E116" s="106">
        <f>'Closed End Seconds (LP)'!E46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108.75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(LP)'!B47</f>
        <v>11.625</v>
      </c>
      <c r="C117" s="1">
        <f>'Closed End Seconds (LP)'!C47</f>
        <v>108.9375</v>
      </c>
      <c r="D117" s="1">
        <f>'Closed End Seconds (LP)'!D47</f>
        <v>108.4375</v>
      </c>
      <c r="E117" s="106">
        <f>'Closed End Seconds (LP)'!E47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108.9375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(LP)'!B48</f>
        <v>11.75</v>
      </c>
      <c r="C118" s="1">
        <f>'Closed End Seconds (LP)'!C48</f>
        <v>109.125</v>
      </c>
      <c r="D118" s="1">
        <f>'Closed End Seconds (LP)'!D48</f>
        <v>108.625</v>
      </c>
      <c r="E118" s="106">
        <f>'Closed End Seconds (LP)'!E48</f>
        <v>107.4</v>
      </c>
      <c r="F118"/>
      <c r="H118" s="53">
        <v>37</v>
      </c>
      <c r="I118" s="68">
        <f t="shared" si="0"/>
        <v>11.75</v>
      </c>
      <c r="J118" s="69">
        <f t="shared" si="4"/>
        <v>109.125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(LP)'!B49</f>
        <v>11.875</v>
      </c>
      <c r="C119" s="1">
        <f>'Closed End Seconds (LP)'!C49</f>
        <v>109.3125</v>
      </c>
      <c r="D119" s="1">
        <f>'Closed End Seconds (LP)'!D49</f>
        <v>108.8125</v>
      </c>
      <c r="E119" s="106">
        <f>'Closed End Seconds (LP)'!E49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109.3125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(LP)'!B50</f>
        <v>11.999000000000001</v>
      </c>
      <c r="C120" s="1">
        <f>'Closed End Seconds (LP)'!C50</f>
        <v>109.5</v>
      </c>
      <c r="D120" s="1">
        <f>'Closed End Seconds (LP)'!D50</f>
        <v>109</v>
      </c>
      <c r="E120" s="106">
        <f>'Closed End Seconds (LP)'!E50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(LP)'!B51</f>
        <v>12.125</v>
      </c>
      <c r="C121" s="1">
        <f>'Closed End Seconds (LP)'!C51</f>
        <v>109.6875</v>
      </c>
      <c r="D121" s="1">
        <f>'Closed End Seconds (LP)'!D51</f>
        <v>109.1875</v>
      </c>
      <c r="E121" s="106">
        <f>'Closed End Seconds (LP)'!E51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109.6875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(LP)'!B52</f>
        <v>0</v>
      </c>
      <c r="C122" s="1">
        <f>'Closed End Seconds (LP)'!C52</f>
        <v>0</v>
      </c>
      <c r="D122" s="1">
        <f>'Closed End Seconds (LP)'!D52</f>
        <v>0</v>
      </c>
      <c r="E122" s="106">
        <f>'Closed End Seconds (LP)'!E52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(LP)'!B53</f>
        <v>0</v>
      </c>
      <c r="C123" s="1">
        <f>'Closed End Seconds (LP)'!C53</f>
        <v>0</v>
      </c>
      <c r="D123" s="1">
        <f>'Closed End Seconds (LP)'!D53</f>
        <v>0</v>
      </c>
      <c r="E123" s="106">
        <f>'Closed End Seconds (LP)'!E53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(LP)'!B54</f>
        <v>0</v>
      </c>
      <c r="C124" s="1">
        <f>'Closed End Seconds (LP)'!C54</f>
        <v>0</v>
      </c>
      <c r="D124" s="1">
        <f>'Closed End Seconds (LP)'!D54</f>
        <v>0</v>
      </c>
      <c r="E124" s="106">
        <f>'Closed End Seconds (LP)'!E54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(LP)'!B55</f>
        <v>0</v>
      </c>
      <c r="C125" s="1">
        <f>'Closed End Seconds (LP)'!C55</f>
        <v>0</v>
      </c>
      <c r="D125" s="1">
        <f>'Closed End Seconds (LP)'!D55</f>
        <v>0</v>
      </c>
      <c r="E125" s="106">
        <f>'Closed End Seconds (LP)'!E55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62">
        <f>'Closed End Seconds (LP)'!S57</f>
        <v>0</v>
      </c>
      <c r="C132" s="263"/>
      <c r="D132" s="264"/>
      <c r="E132" s="190" t="s">
        <v>37</v>
      </c>
      <c r="F132"/>
      <c r="J132" s="114">
        <f ca="1">VLOOKUP(J129,H82:J128,3,FALSE)</f>
        <v>98.625</v>
      </c>
      <c r="K132" s="111">
        <f ca="1">VLOOKUP(K129,H82:K128,4,FALSE)</f>
        <v>99.375</v>
      </c>
      <c r="L132" s="112">
        <f ca="1">VLOOKUP(L129,H82:L128,5,FALSE)</f>
        <v>99.9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67">
        <f>'Closed End Seconds (LP)'!U57</f>
        <v>102</v>
      </c>
      <c r="C133" s="268"/>
      <c r="D133" s="269"/>
      <c r="E133" s="247" t="str" cm="1">
        <f t="array" ref="E133">IF(OR('Closed End Seconds (LP)'!U18=I3:I5),B133,"")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91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58" t="s">
        <v>123</v>
      </c>
      <c r="J137" s="259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60"/>
      <c r="J138" s="261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62">
        <f>'Closed End Seconds (LP)'!S58</f>
        <v>0</v>
      </c>
      <c r="C141" s="263"/>
      <c r="D141" s="264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67" t="str">
        <f>'Closed End Seconds (LP)'!T58</f>
        <v>Max Rate (CA)</v>
      </c>
      <c r="C142" s="268"/>
      <c r="D142" s="269"/>
      <c r="E142" s="100" t="str">
        <f>IF(OR('Closed End Seconds (LP)'!U21=N4),B142,"")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62">
        <f>'Closed End Seconds (LP)'!S59</f>
        <v>0</v>
      </c>
      <c r="C145" s="263"/>
      <c r="D145" s="264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67" t="str">
        <f>'Closed End Seconds (LP)'!T59</f>
        <v>NC Floor Price</v>
      </c>
      <c r="C146" s="268"/>
      <c r="D146" s="269"/>
      <c r="E146" s="100" t="str">
        <f>IF(OR('Closed End Seconds (LP)'!U21=N5),B146,"")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45:D145"/>
    <mergeCell ref="B146:D146"/>
    <mergeCell ref="B141:D141"/>
    <mergeCell ref="B142:D142"/>
    <mergeCell ref="I137:J137"/>
    <mergeCell ref="I138:J138"/>
    <mergeCell ref="B132:D132"/>
    <mergeCell ref="B80:E80"/>
    <mergeCell ref="B133:D133"/>
  </mergeCells>
  <phoneticPr fontId="39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CF5C8-A4B3-4689-8504-12F1E5C4C269}">
  <sheetPr codeName="Sheet6">
    <tabColor rgb="FFFC7D20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1.7109375" style="59" customWidth="1"/>
    <col min="2" max="2" width="16.7109375" style="59" customWidth="1"/>
    <col min="3" max="3" width="17.28515625" style="59" customWidth="1"/>
    <col min="4" max="4" width="20.7109375" style="59" customWidth="1"/>
    <col min="5" max="5" width="16.7109375" style="59" customWidth="1"/>
    <col min="6" max="6" width="2.28515625" style="59" customWidth="1"/>
    <col min="7" max="7" width="15" style="59" customWidth="1"/>
    <col min="8" max="8" width="12.42578125" style="59" customWidth="1"/>
    <col min="9" max="16" width="15.7109375" style="59" customWidth="1"/>
    <col min="17" max="17" width="16.140625" style="59" customWidth="1"/>
    <col min="18" max="18" width="2.7109375" style="59" customWidth="1"/>
    <col min="19" max="19" width="4.42578125" style="59" customWidth="1"/>
    <col min="20" max="21" width="22.7109375" style="59" customWidth="1"/>
    <col min="22" max="22" width="24.140625" style="59" customWidth="1"/>
    <col min="23" max="23" width="29.85546875" style="59" customWidth="1"/>
    <col min="24" max="24" width="4.710937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270"/>
      <c r="J1" s="270"/>
      <c r="K1" s="270"/>
      <c r="L1" s="270"/>
      <c r="M1" s="118"/>
      <c r="N1" s="118"/>
      <c r="O1" s="123"/>
      <c r="P1" s="287" t="s">
        <v>303</v>
      </c>
      <c r="Q1" s="287"/>
      <c r="R1" s="118"/>
      <c r="T1"/>
      <c r="U1"/>
      <c r="V1"/>
      <c r="W1"/>
      <c r="X1"/>
    </row>
    <row r="2" spans="1:24" ht="15" customHeight="1">
      <c r="B2" s="297" t="s">
        <v>302</v>
      </c>
      <c r="C2" s="298"/>
      <c r="D2" s="298"/>
      <c r="I2" s="270"/>
      <c r="J2" s="270"/>
      <c r="K2" s="270"/>
      <c r="L2" s="270"/>
      <c r="M2" s="118"/>
      <c r="N2" s="118"/>
      <c r="O2" s="123"/>
      <c r="P2" s="287"/>
      <c r="Q2" s="287"/>
      <c r="R2" s="118"/>
      <c r="T2"/>
      <c r="U2"/>
      <c r="V2"/>
      <c r="W2"/>
      <c r="X2"/>
    </row>
    <row r="3" spans="1:24" ht="15" customHeight="1">
      <c r="B3" s="249" t="s">
        <v>293</v>
      </c>
      <c r="C3" s="280" t="s">
        <v>298</v>
      </c>
      <c r="D3" s="281"/>
      <c r="I3" s="165"/>
      <c r="J3" s="165"/>
      <c r="K3" s="165"/>
      <c r="L3" s="165"/>
      <c r="M3" s="119"/>
      <c r="N3" s="119"/>
      <c r="O3" s="123"/>
      <c r="P3" s="164"/>
      <c r="Q3" s="166" t="s">
        <v>161</v>
      </c>
      <c r="R3" s="119"/>
    </row>
    <row r="4" spans="1:24" ht="15" customHeight="1">
      <c r="B4"/>
      <c r="C4"/>
      <c r="D4"/>
      <c r="I4" s="165"/>
      <c r="J4" s="165"/>
      <c r="K4" s="165"/>
      <c r="L4" s="165"/>
      <c r="M4" s="120"/>
      <c r="N4" s="120"/>
      <c r="O4" s="171"/>
      <c r="P4" s="192"/>
      <c r="Q4" s="166" t="s">
        <v>43</v>
      </c>
      <c r="R4" s="120"/>
      <c r="U4" s="110"/>
      <c r="V4" s="110"/>
    </row>
    <row r="5" spans="1:24" ht="15.75">
      <c r="L5" s="124"/>
      <c r="M5" s="124"/>
      <c r="N5" s="124"/>
      <c r="O5" s="121"/>
      <c r="P5" s="295"/>
      <c r="Q5" s="295"/>
      <c r="R5" s="122"/>
      <c r="U5"/>
      <c r="V5"/>
    </row>
    <row r="6" spans="1:24" ht="14.25" customHeight="1"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21" t="s">
        <v>304</v>
      </c>
      <c r="P6" s="295">
        <v>46204</v>
      </c>
      <c r="Q6" s="295"/>
      <c r="R6"/>
      <c r="S6" s="163" t="s">
        <v>122</v>
      </c>
      <c r="T6" s="163"/>
      <c r="U6" s="163"/>
      <c r="V6" s="163"/>
      <c r="W6" s="163"/>
      <c r="X6" s="163"/>
    </row>
    <row r="7" spans="1:24" ht="29.25" customHeight="1">
      <c r="A7" s="160"/>
      <c r="B7" s="296" t="s">
        <v>276</v>
      </c>
      <c r="C7" s="296"/>
      <c r="D7" s="296"/>
      <c r="E7" s="296"/>
      <c r="F7" s="207"/>
      <c r="G7" s="296" t="s">
        <v>125</v>
      </c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199"/>
      <c r="S7" s="301" t="s">
        <v>286</v>
      </c>
      <c r="T7" s="301"/>
      <c r="U7" s="301"/>
      <c r="V7" s="301"/>
      <c r="W7" s="301"/>
      <c r="X7" s="174"/>
    </row>
    <row r="8" spans="1:24" ht="15.75" customHeight="1">
      <c r="A8" s="160"/>
      <c r="B8" s="296"/>
      <c r="C8" s="296"/>
      <c r="D8" s="296"/>
      <c r="E8" s="296"/>
      <c r="F8" s="200"/>
      <c r="G8" s="296"/>
      <c r="H8" s="296"/>
      <c r="I8" s="296"/>
      <c r="J8" s="296"/>
      <c r="K8" s="296"/>
      <c r="L8" s="296"/>
      <c r="M8" s="296"/>
      <c r="N8" s="296"/>
      <c r="O8" s="296"/>
      <c r="P8" s="296"/>
      <c r="Q8" s="296"/>
      <c r="R8" s="200"/>
      <c r="S8" s="301"/>
      <c r="T8" s="301"/>
      <c r="U8" s="301"/>
      <c r="V8" s="301"/>
      <c r="W8" s="301"/>
      <c r="X8" s="175"/>
    </row>
    <row r="9" spans="1:24" ht="15.75" customHeight="1" thickBot="1">
      <c r="A9" s="160"/>
      <c r="B9" s="208"/>
      <c r="C9" s="208"/>
      <c r="D9" s="208"/>
      <c r="E9" s="208"/>
      <c r="F9" s="200"/>
      <c r="G9" s="208"/>
      <c r="H9" s="208"/>
      <c r="I9" s="208"/>
      <c r="J9" s="208"/>
      <c r="K9" s="208"/>
      <c r="L9" s="208"/>
      <c r="M9" s="208"/>
      <c r="N9" s="208"/>
      <c r="O9" s="208"/>
      <c r="P9" s="208"/>
      <c r="Q9" s="208"/>
      <c r="R9" s="199"/>
      <c r="S9" s="304" t="s">
        <v>119</v>
      </c>
      <c r="T9" s="305"/>
      <c r="U9" s="233">
        <v>0</v>
      </c>
      <c r="V9" s="209"/>
      <c r="W9" s="210"/>
      <c r="X9" s="176"/>
    </row>
    <row r="10" spans="1:24" ht="15.75" customHeight="1" thickBot="1">
      <c r="A10" s="160"/>
      <c r="B10" s="290" t="s">
        <v>277</v>
      </c>
      <c r="C10" s="291"/>
      <c r="D10" s="291"/>
      <c r="E10" s="291"/>
      <c r="F10" s="200"/>
      <c r="G10" s="292" t="s">
        <v>305</v>
      </c>
      <c r="H10" s="293"/>
      <c r="I10" s="293"/>
      <c r="J10" s="293"/>
      <c r="K10" s="293"/>
      <c r="L10" s="293"/>
      <c r="M10" s="293"/>
      <c r="N10" s="293"/>
      <c r="O10" s="293"/>
      <c r="P10" s="293"/>
      <c r="Q10" s="294"/>
      <c r="R10" s="199"/>
      <c r="S10" s="299" t="s">
        <v>1</v>
      </c>
      <c r="T10" s="300"/>
      <c r="U10" s="234" t="s">
        <v>27</v>
      </c>
      <c r="V10" s="209"/>
      <c r="W10" s="210"/>
      <c r="X10" s="177"/>
    </row>
    <row r="11" spans="1:24" ht="14.25" customHeight="1">
      <c r="A11" s="160"/>
      <c r="B11" s="226" t="s">
        <v>306</v>
      </c>
      <c r="C11" s="172" t="s">
        <v>28</v>
      </c>
      <c r="D11" s="172" t="s">
        <v>4</v>
      </c>
      <c r="E11" s="227" t="s">
        <v>187</v>
      </c>
      <c r="F11" s="200"/>
      <c r="G11" s="240"/>
      <c r="H11" s="240"/>
      <c r="I11" s="241" t="s">
        <v>291</v>
      </c>
      <c r="J11" s="241" t="s">
        <v>134</v>
      </c>
      <c r="K11" s="241" t="s">
        <v>135</v>
      </c>
      <c r="L11" s="241" t="s">
        <v>136</v>
      </c>
      <c r="M11" s="241" t="s">
        <v>137</v>
      </c>
      <c r="N11" s="241" t="s">
        <v>138</v>
      </c>
      <c r="O11" s="241" t="s">
        <v>139</v>
      </c>
      <c r="P11" s="241" t="s">
        <v>140</v>
      </c>
      <c r="Q11" s="241" t="s">
        <v>141</v>
      </c>
      <c r="R11" s="199"/>
      <c r="S11" s="299" t="s">
        <v>2</v>
      </c>
      <c r="T11" s="300"/>
      <c r="U11" s="234" t="s">
        <v>27</v>
      </c>
      <c r="V11" s="211">
        <f>IF(U11="Choose a Selection",0,IF(OR(U10='Feed(WS)'!B3),INDEX(I12:I19,MATCH(U11,G12:G19,0)),INDEX(I12:Q19,MATCH(U11,G12:G19,0),MATCH(U10,I11:Q11,0))))</f>
        <v>0</v>
      </c>
      <c r="W11" s="210"/>
      <c r="X11" s="177"/>
    </row>
    <row r="12" spans="1:24" ht="15" customHeight="1">
      <c r="A12" s="160"/>
      <c r="B12" s="228">
        <v>7.25</v>
      </c>
      <c r="C12" s="159">
        <v>98.625</v>
      </c>
      <c r="D12" s="159">
        <v>98.125</v>
      </c>
      <c r="E12" s="206" t="e">
        <v>#N/A</v>
      </c>
      <c r="F12" s="200"/>
      <c r="G12" s="318" t="s">
        <v>126</v>
      </c>
      <c r="H12" s="318"/>
      <c r="I12" s="189">
        <v>1</v>
      </c>
      <c r="J12" s="189">
        <v>0.25</v>
      </c>
      <c r="K12" s="189">
        <v>0.125</v>
      </c>
      <c r="L12" s="189">
        <v>-0.125</v>
      </c>
      <c r="M12" s="189">
        <v>-0.25</v>
      </c>
      <c r="N12" s="189">
        <v>-0.75</v>
      </c>
      <c r="O12" s="189">
        <v>-1.125</v>
      </c>
      <c r="P12" s="189">
        <v>-3</v>
      </c>
      <c r="Q12" s="189">
        <v>-5</v>
      </c>
      <c r="R12" s="204"/>
      <c r="S12" s="302" t="s">
        <v>147</v>
      </c>
      <c r="T12" s="303"/>
      <c r="U12" s="234" t="s">
        <v>27</v>
      </c>
      <c r="V12" s="211">
        <f>IF(U12="Choose a Selection",0,INDEX($G$23:$Q$24,MATCH($U$12,$G$23:$G$24,0),MATCH($U$10,$G$11:$Q$11,0)))</f>
        <v>0</v>
      </c>
      <c r="W12" s="210"/>
      <c r="X12" s="178"/>
    </row>
    <row r="13" spans="1:24" ht="15.75" customHeight="1">
      <c r="A13" s="160"/>
      <c r="B13" s="228">
        <v>7.375</v>
      </c>
      <c r="C13" s="159">
        <v>99.25</v>
      </c>
      <c r="D13" s="159">
        <v>98.75</v>
      </c>
      <c r="E13" s="206" t="e">
        <v>#N/A</v>
      </c>
      <c r="F13" s="200"/>
      <c r="G13" s="318" t="s">
        <v>127</v>
      </c>
      <c r="H13" s="318"/>
      <c r="I13" s="189">
        <v>0.875</v>
      </c>
      <c r="J13" s="189">
        <v>0.125</v>
      </c>
      <c r="K13" s="189">
        <v>-0.125</v>
      </c>
      <c r="L13" s="189">
        <v>-0.25</v>
      </c>
      <c r="M13" s="189">
        <v>-0.375</v>
      </c>
      <c r="N13" s="189">
        <v>-1</v>
      </c>
      <c r="O13" s="189">
        <v>-1.375</v>
      </c>
      <c r="P13" s="189">
        <v>-3.25</v>
      </c>
      <c r="Q13" s="189">
        <v>-5.5</v>
      </c>
      <c r="R13" s="204"/>
      <c r="S13" s="302" t="s">
        <v>3</v>
      </c>
      <c r="T13" s="303"/>
      <c r="U13" s="234" t="s">
        <v>27</v>
      </c>
      <c r="V13" s="211">
        <f>IF(OR(U13="Choose a Selection",U13='Feed(WS)'!C4,U13='Feed(WS)'!C5,U13='Feed(WS)'!C6),0,INDEX($G$26:$Q$31,MATCH($U$13,$G$26:$G$31,0),MATCH($U$10,$G$11:$Q$11,0)))</f>
        <v>0</v>
      </c>
      <c r="W13" s="212">
        <f>'Feed(WS)'!B64</f>
        <v>0</v>
      </c>
      <c r="X13" s="179"/>
    </row>
    <row r="14" spans="1:24" ht="15.75" customHeight="1">
      <c r="A14" s="160"/>
      <c r="B14" s="228">
        <v>7.4989999999999997</v>
      </c>
      <c r="C14" s="159">
        <v>99.875</v>
      </c>
      <c r="D14" s="159">
        <v>99.375</v>
      </c>
      <c r="E14" s="206" t="e">
        <v>#N/A</v>
      </c>
      <c r="F14" s="200"/>
      <c r="G14" s="318" t="s">
        <v>128</v>
      </c>
      <c r="H14" s="318"/>
      <c r="I14" s="189">
        <v>0.75</v>
      </c>
      <c r="J14" s="189">
        <v>-0.125</v>
      </c>
      <c r="K14" s="189">
        <v>-0.25</v>
      </c>
      <c r="L14" s="189">
        <v>-0.375</v>
      </c>
      <c r="M14" s="189">
        <v>-0.625</v>
      </c>
      <c r="N14" s="189">
        <v>-1.375</v>
      </c>
      <c r="O14" s="189">
        <v>-1.625</v>
      </c>
      <c r="P14" s="189">
        <v>-3.75</v>
      </c>
      <c r="Q14" s="189">
        <v>-6.25</v>
      </c>
      <c r="R14" s="204"/>
      <c r="S14" s="302" t="s">
        <v>189</v>
      </c>
      <c r="T14" s="303"/>
      <c r="U14" s="234" t="s">
        <v>27</v>
      </c>
      <c r="V14" s="211">
        <f>IF(OR(U14="Choose a Selection",U14='Feed(WS)'!D3),0,INDEX($G$26:$Q$31,MATCH($U$14,$G$26:$G$31,0),MATCH($U$10,$G$11:$Q$11,0)))</f>
        <v>0</v>
      </c>
      <c r="W14" s="212"/>
      <c r="X14" s="179"/>
    </row>
    <row r="15" spans="1:24" ht="15" customHeight="1">
      <c r="A15" s="160"/>
      <c r="B15" s="228">
        <v>7.625</v>
      </c>
      <c r="C15" s="159">
        <v>100.3125</v>
      </c>
      <c r="D15" s="159">
        <v>99.8125</v>
      </c>
      <c r="E15" s="206" t="e">
        <v>#N/A</v>
      </c>
      <c r="F15" s="200"/>
      <c r="G15" s="318" t="s">
        <v>129</v>
      </c>
      <c r="H15" s="318"/>
      <c r="I15" s="189">
        <v>0.5</v>
      </c>
      <c r="J15" s="189">
        <v>-0.25</v>
      </c>
      <c r="K15" s="189">
        <v>-0.375</v>
      </c>
      <c r="L15" s="189">
        <v>-0.625</v>
      </c>
      <c r="M15" s="189">
        <v>-1.125</v>
      </c>
      <c r="N15" s="189">
        <v>-1.625</v>
      </c>
      <c r="O15" s="189">
        <v>-2.25</v>
      </c>
      <c r="P15" s="189">
        <v>-4.75</v>
      </c>
      <c r="Q15" s="189">
        <v>-7.5</v>
      </c>
      <c r="R15" s="204"/>
      <c r="S15" s="299" t="s">
        <v>5</v>
      </c>
      <c r="T15" s="300"/>
      <c r="U15" s="234" t="s">
        <v>27</v>
      </c>
      <c r="V15" s="211" cm="1">
        <f t="array" ref="V15">IF(U15="Choose a Selection",0,IF(OR(U15='Feed(WS)'!L3:L5),0,INDEX($G$47:$Q$48,MATCH($U$15,$G$47:$G$48,0),MATCH($U$10,$G$11:$Q$11,0))))</f>
        <v>0</v>
      </c>
      <c r="W15" s="213"/>
      <c r="X15" s="180"/>
    </row>
    <row r="16" spans="1:24" ht="14.25" customHeight="1">
      <c r="A16" s="160"/>
      <c r="B16" s="228">
        <v>7.75</v>
      </c>
      <c r="C16" s="159">
        <v>100.75</v>
      </c>
      <c r="D16" s="159">
        <v>100.25</v>
      </c>
      <c r="E16" s="206" t="e">
        <v>#N/A</v>
      </c>
      <c r="F16" s="200"/>
      <c r="G16" s="318" t="s">
        <v>130</v>
      </c>
      <c r="H16" s="318"/>
      <c r="I16" s="189">
        <v>0.25</v>
      </c>
      <c r="J16" s="189">
        <v>-0.375</v>
      </c>
      <c r="K16" s="189">
        <v>-0.875</v>
      </c>
      <c r="L16" s="189">
        <v>-1.125</v>
      </c>
      <c r="M16" s="189">
        <v>-1.5</v>
      </c>
      <c r="N16" s="189">
        <v>-2</v>
      </c>
      <c r="O16" s="189">
        <v>-3</v>
      </c>
      <c r="P16" s="189">
        <v>-6</v>
      </c>
      <c r="Q16" s="189">
        <v>-9.25</v>
      </c>
      <c r="R16" s="204"/>
      <c r="S16" s="299" t="s">
        <v>7</v>
      </c>
      <c r="T16" s="300"/>
      <c r="U16" s="234" t="s">
        <v>27</v>
      </c>
      <c r="V16" s="211">
        <f>IF(U16="Choose a Selection",0,IF(OR(U16='Feed(WS)'!E6),0,INDEX($G$43:$Q$45,MATCH($U$16,$G$43:$G$45,0),MATCH($U$10,$G$11:$Q$11,0))))</f>
        <v>0</v>
      </c>
      <c r="W16" s="214"/>
      <c r="X16" s="181"/>
    </row>
    <row r="17" spans="1:24" ht="15" customHeight="1">
      <c r="A17" s="160"/>
      <c r="B17" s="228">
        <v>7.875</v>
      </c>
      <c r="C17" s="159">
        <v>101.1875</v>
      </c>
      <c r="D17" s="159">
        <v>100.6875</v>
      </c>
      <c r="E17" s="206" t="e">
        <v>#N/A</v>
      </c>
      <c r="F17" s="200"/>
      <c r="G17" s="318" t="s">
        <v>131</v>
      </c>
      <c r="H17" s="318"/>
      <c r="I17" s="189">
        <v>-0.375</v>
      </c>
      <c r="J17" s="189">
        <v>-1</v>
      </c>
      <c r="K17" s="189">
        <v>-1.5</v>
      </c>
      <c r="L17" s="189">
        <v>-2</v>
      </c>
      <c r="M17" s="189">
        <v>-2.375</v>
      </c>
      <c r="N17" s="189">
        <v>-3</v>
      </c>
      <c r="O17" s="189">
        <v>-4.5</v>
      </c>
      <c r="P17" s="189">
        <v>-7.25</v>
      </c>
      <c r="Q17" s="189">
        <v>-10.5</v>
      </c>
      <c r="R17" s="204"/>
      <c r="S17" s="299" t="s">
        <v>8</v>
      </c>
      <c r="T17" s="300"/>
      <c r="U17" s="235" t="s">
        <v>27</v>
      </c>
      <c r="V17" s="211">
        <f>IF(OR(U17="Choose a Selection",U17='Feed(WS)'!F2),0,INDEX($G$36:$Q$41,MATCH($U$17,$G$36:$G$41,0),MATCH($U$10,$G$11:$Q$11,0)))</f>
        <v>0</v>
      </c>
      <c r="W17" s="214"/>
      <c r="X17" s="181"/>
    </row>
    <row r="18" spans="1:24" ht="15" customHeight="1">
      <c r="A18" s="160"/>
      <c r="B18" s="228">
        <v>7.9989999999999997</v>
      </c>
      <c r="C18" s="159">
        <v>101.59375</v>
      </c>
      <c r="D18" s="159">
        <v>101.09375</v>
      </c>
      <c r="E18" s="206" t="e">
        <v>#N/A</v>
      </c>
      <c r="F18" s="200"/>
      <c r="G18" s="318" t="s">
        <v>132</v>
      </c>
      <c r="H18" s="318"/>
      <c r="I18" s="189">
        <v>-2</v>
      </c>
      <c r="J18" s="189">
        <v>-2.25</v>
      </c>
      <c r="K18" s="189">
        <v>-2.75</v>
      </c>
      <c r="L18" s="189">
        <v>-3.25</v>
      </c>
      <c r="M18" s="189">
        <v>-3.625</v>
      </c>
      <c r="N18" s="189">
        <v>-4.25</v>
      </c>
      <c r="O18" s="189">
        <v>-6.75</v>
      </c>
      <c r="P18" s="189">
        <v>-9</v>
      </c>
      <c r="Q18" s="198" t="e">
        <v>#N/A</v>
      </c>
      <c r="R18" s="204"/>
      <c r="S18" s="299" t="s">
        <v>9</v>
      </c>
      <c r="T18" s="300"/>
      <c r="U18" s="234" t="s">
        <v>27</v>
      </c>
      <c r="V18" s="211">
        <f>IF(U13="DSCR",0,IF(U18="Choose a Selection",0,IF(OR(U18='Feed(WS)'!I3),0,INDEX($G$33:$Q$34,MATCH($U$18,$G$33:$G$34,0),MATCH($U$10,$G$11:$Q$11,0)))))</f>
        <v>0</v>
      </c>
      <c r="W18" s="215"/>
      <c r="X18" s="182"/>
    </row>
    <row r="19" spans="1:24" ht="15.75" customHeight="1">
      <c r="A19" s="160"/>
      <c r="B19" s="228">
        <v>8.125</v>
      </c>
      <c r="C19" s="159">
        <v>102</v>
      </c>
      <c r="D19" s="159">
        <v>101.5</v>
      </c>
      <c r="E19" s="206" t="e">
        <v>#N/A</v>
      </c>
      <c r="F19" s="199"/>
      <c r="G19" s="318" t="s">
        <v>133</v>
      </c>
      <c r="H19" s="318"/>
      <c r="I19" s="189">
        <v>-3</v>
      </c>
      <c r="J19" s="189">
        <v>-3.25</v>
      </c>
      <c r="K19" s="189">
        <v>-3.75</v>
      </c>
      <c r="L19" s="189">
        <v>-4.25</v>
      </c>
      <c r="M19" s="189">
        <v>-4.625</v>
      </c>
      <c r="N19" s="189">
        <v>-5.75</v>
      </c>
      <c r="O19" s="189">
        <v>-7.75</v>
      </c>
      <c r="P19" s="198" t="e">
        <v>#N/A</v>
      </c>
      <c r="Q19" s="198" t="e">
        <v>#N/A</v>
      </c>
      <c r="R19" s="200"/>
      <c r="S19" s="299" t="s">
        <v>10</v>
      </c>
      <c r="T19" s="300"/>
      <c r="U19" s="234" t="s">
        <v>27</v>
      </c>
      <c r="V19" s="211">
        <f>IF(U19="Choose a Selection",0,IF(OR(U19='Feed(WS)'!H3),0,INDEX($G$50:$Q$52,MATCH($U$19,$G$50:$G$52,0),MATCH($U$10,$G$11:$Q$11,0))))</f>
        <v>0</v>
      </c>
      <c r="W19" s="215"/>
      <c r="X19" s="182"/>
    </row>
    <row r="20" spans="1:24" ht="15.75" customHeight="1" thickBot="1">
      <c r="A20" s="160"/>
      <c r="B20" s="228">
        <v>8.25</v>
      </c>
      <c r="C20" s="159">
        <v>102.40625</v>
      </c>
      <c r="D20" s="159">
        <v>101.90625</v>
      </c>
      <c r="E20" s="206" t="e">
        <v>#N/A</v>
      </c>
      <c r="F20" s="200"/>
      <c r="G20" s="237"/>
      <c r="H20" s="238"/>
      <c r="I20" s="238"/>
      <c r="J20" s="238"/>
      <c r="K20" s="238"/>
      <c r="L20" s="238"/>
      <c r="M20" s="238"/>
      <c r="N20" s="238"/>
      <c r="O20" s="238"/>
      <c r="P20" s="238"/>
      <c r="Q20" s="239"/>
      <c r="R20" s="200"/>
      <c r="S20" s="299" t="s">
        <v>11</v>
      </c>
      <c r="T20" s="300"/>
      <c r="U20" s="234" t="s">
        <v>36</v>
      </c>
      <c r="V20" s="211">
        <f>INDEX($W$57:$W$59,MATCH($U$20,$V$57:$V$59,0))</f>
        <v>0</v>
      </c>
      <c r="W20" s="216"/>
      <c r="X20" s="183"/>
    </row>
    <row r="21" spans="1:24" ht="15.75" customHeight="1">
      <c r="A21" s="160"/>
      <c r="B21" s="228">
        <v>8.375</v>
      </c>
      <c r="C21" s="159">
        <v>102.78125</v>
      </c>
      <c r="D21" s="159">
        <v>102.28125</v>
      </c>
      <c r="E21" s="206" t="e">
        <v>#N/A</v>
      </c>
      <c r="F21" s="200"/>
      <c r="G21" s="308" t="s">
        <v>287</v>
      </c>
      <c r="H21" s="308"/>
      <c r="I21" s="308"/>
      <c r="J21" s="308"/>
      <c r="K21" s="308"/>
      <c r="L21" s="308"/>
      <c r="M21" s="308"/>
      <c r="N21" s="308"/>
      <c r="O21" s="308"/>
      <c r="P21" s="308"/>
      <c r="Q21" s="308"/>
      <c r="R21" s="200"/>
      <c r="S21" s="299" t="s">
        <v>12</v>
      </c>
      <c r="T21" s="300"/>
      <c r="U21" s="234" t="s">
        <v>27</v>
      </c>
      <c r="V21" s="211">
        <v>0</v>
      </c>
      <c r="W21" s="213"/>
      <c r="X21" s="180"/>
    </row>
    <row r="22" spans="1:24" ht="15.75" customHeight="1">
      <c r="A22" s="160"/>
      <c r="B22" s="228">
        <v>8.4990000000000006</v>
      </c>
      <c r="C22" s="159">
        <v>103.15625</v>
      </c>
      <c r="D22" s="159">
        <v>102.65625</v>
      </c>
      <c r="E22" s="231">
        <v>99.9</v>
      </c>
      <c r="F22" s="200"/>
      <c r="G22" s="309" t="s">
        <v>147</v>
      </c>
      <c r="H22" s="309"/>
      <c r="I22" s="309"/>
      <c r="J22" s="309"/>
      <c r="K22" s="309"/>
      <c r="L22" s="309"/>
      <c r="M22" s="309"/>
      <c r="N22" s="309"/>
      <c r="O22" s="309"/>
      <c r="P22" s="309"/>
      <c r="Q22" s="309"/>
      <c r="R22" s="200"/>
      <c r="S22" s="299" t="s">
        <v>162</v>
      </c>
      <c r="T22" s="300"/>
      <c r="U22" s="234" t="s">
        <v>27</v>
      </c>
      <c r="V22" s="211">
        <v>0</v>
      </c>
      <c r="W22" s="213"/>
      <c r="X22" s="180"/>
    </row>
    <row r="23" spans="1:24" ht="15.75" customHeight="1">
      <c r="A23" s="160"/>
      <c r="B23" s="228">
        <v>8.625</v>
      </c>
      <c r="C23" s="159">
        <v>103.53125</v>
      </c>
      <c r="D23" s="159">
        <v>103.03125</v>
      </c>
      <c r="E23" s="231">
        <v>100.15</v>
      </c>
      <c r="F23" s="200"/>
      <c r="G23" s="254" t="s">
        <v>148</v>
      </c>
      <c r="H23" s="255"/>
      <c r="I23" s="189">
        <v>0</v>
      </c>
      <c r="J23" s="189">
        <v>0</v>
      </c>
      <c r="K23" s="189">
        <v>0</v>
      </c>
      <c r="L23" s="189">
        <v>0</v>
      </c>
      <c r="M23" s="189">
        <v>0</v>
      </c>
      <c r="N23" s="189">
        <v>0</v>
      </c>
      <c r="O23" s="189">
        <v>0</v>
      </c>
      <c r="P23" s="189">
        <v>0</v>
      </c>
      <c r="Q23" s="189">
        <v>0</v>
      </c>
      <c r="R23" s="200"/>
      <c r="S23" s="299" t="s">
        <v>163</v>
      </c>
      <c r="T23" s="300"/>
      <c r="U23" s="234" t="s">
        <v>27</v>
      </c>
      <c r="V23" s="211">
        <v>0</v>
      </c>
      <c r="W23" s="213"/>
      <c r="X23" s="180"/>
    </row>
    <row r="24" spans="1:24" ht="15.75" customHeight="1">
      <c r="A24" s="160"/>
      <c r="B24" s="228">
        <v>8.75</v>
      </c>
      <c r="C24" s="159">
        <v>103.84375</v>
      </c>
      <c r="D24" s="159">
        <v>103.34375</v>
      </c>
      <c r="E24" s="231">
        <v>100.4</v>
      </c>
      <c r="F24" s="200"/>
      <c r="G24" s="254" t="s">
        <v>149</v>
      </c>
      <c r="H24" s="255"/>
      <c r="I24" s="189">
        <v>-0.5</v>
      </c>
      <c r="J24" s="189">
        <v>-0.5</v>
      </c>
      <c r="K24" s="189">
        <v>-0.5</v>
      </c>
      <c r="L24" s="189">
        <v>-0.5</v>
      </c>
      <c r="M24" s="189">
        <v>-0.75</v>
      </c>
      <c r="N24" s="189">
        <v>-0.75</v>
      </c>
      <c r="O24" s="189">
        <v>-0.75</v>
      </c>
      <c r="P24" s="189">
        <v>-1</v>
      </c>
      <c r="Q24" s="189">
        <v>-1.25</v>
      </c>
      <c r="R24" s="200"/>
      <c r="S24" s="306" t="s">
        <v>14</v>
      </c>
      <c r="T24" s="307"/>
      <c r="U24" s="234" t="s">
        <v>15</v>
      </c>
      <c r="V24" s="211">
        <f>INDEX($D$57:$D$59,MATCH($U$24,$B$57:$B$59,0))</f>
        <v>0</v>
      </c>
      <c r="W24" s="213"/>
      <c r="X24" s="180"/>
    </row>
    <row r="25" spans="1:24" ht="15" customHeight="1">
      <c r="A25" s="160"/>
      <c r="B25" s="228">
        <v>8.875</v>
      </c>
      <c r="C25" s="159">
        <v>104.15625</v>
      </c>
      <c r="D25" s="159">
        <v>103.65625</v>
      </c>
      <c r="E25" s="231">
        <v>100.65</v>
      </c>
      <c r="F25" s="200"/>
      <c r="G25" s="309" t="s">
        <v>278</v>
      </c>
      <c r="H25" s="309"/>
      <c r="I25" s="309"/>
      <c r="J25" s="309"/>
      <c r="K25" s="309"/>
      <c r="L25" s="309"/>
      <c r="M25" s="309"/>
      <c r="N25" s="309"/>
      <c r="O25" s="309"/>
      <c r="P25" s="309"/>
      <c r="Q25" s="309"/>
      <c r="R25" s="200"/>
      <c r="S25" s="310" t="str">
        <f>IF(V25=0,"","CES Special")</f>
        <v>CES Special</v>
      </c>
      <c r="T25" s="311"/>
      <c r="U25" s="236" t="str">
        <f>IF(V25=0,"Not Applicable","Yes")</f>
        <v>Yes</v>
      </c>
      <c r="V25" s="211" t="b">
        <f>'Feed(WS)'!B67</f>
        <v>0</v>
      </c>
      <c r="W25" s="213"/>
      <c r="X25" s="180"/>
    </row>
    <row r="26" spans="1:24" ht="15.75" customHeight="1">
      <c r="A26" s="160"/>
      <c r="B26" s="228">
        <v>8.9990000000000006</v>
      </c>
      <c r="C26" s="159">
        <v>104.46875</v>
      </c>
      <c r="D26" s="159">
        <v>103.96875</v>
      </c>
      <c r="E26" s="231">
        <v>100.9</v>
      </c>
      <c r="F26" s="200"/>
      <c r="G26" s="254" t="s">
        <v>171</v>
      </c>
      <c r="H26" s="255"/>
      <c r="I26" s="189">
        <v>0.75</v>
      </c>
      <c r="J26" s="189">
        <v>0.5</v>
      </c>
      <c r="K26" s="189">
        <v>0.5</v>
      </c>
      <c r="L26" s="189">
        <v>0.5</v>
      </c>
      <c r="M26" s="189">
        <v>0.5</v>
      </c>
      <c r="N26" s="189">
        <v>0.5</v>
      </c>
      <c r="O26" s="189">
        <v>0.5</v>
      </c>
      <c r="P26" s="189" t="s">
        <v>307</v>
      </c>
      <c r="Q26" s="189" t="s">
        <v>307</v>
      </c>
      <c r="R26" s="200"/>
      <c r="S26" s="312" t="s">
        <v>16</v>
      </c>
      <c r="T26" s="312"/>
      <c r="U26" s="313"/>
      <c r="V26" s="217">
        <f>SUM(V11:V25)+W13</f>
        <v>0</v>
      </c>
      <c r="W26" s="213"/>
      <c r="X26" s="180"/>
    </row>
    <row r="27" spans="1:24" ht="15.75" customHeight="1">
      <c r="A27" s="160"/>
      <c r="B27" s="228">
        <v>9.125</v>
      </c>
      <c r="C27" s="159">
        <v>104.78125</v>
      </c>
      <c r="D27" s="159">
        <v>104.28125</v>
      </c>
      <c r="E27" s="231">
        <v>101.15</v>
      </c>
      <c r="F27" s="200"/>
      <c r="G27" s="254" t="s">
        <v>237</v>
      </c>
      <c r="H27" s="255"/>
      <c r="I27" s="189">
        <v>-0.5</v>
      </c>
      <c r="J27" s="189">
        <v>-0.75</v>
      </c>
      <c r="K27" s="189">
        <v>-0.75</v>
      </c>
      <c r="L27" s="189">
        <v>-0.75</v>
      </c>
      <c r="M27" s="189">
        <v>-0.75</v>
      </c>
      <c r="N27" s="189">
        <v>-0.75</v>
      </c>
      <c r="O27" s="189">
        <v>-0.75</v>
      </c>
      <c r="P27" s="189">
        <v>-1</v>
      </c>
      <c r="Q27" s="189">
        <v>-1</v>
      </c>
      <c r="R27" s="200"/>
      <c r="S27" s="314" t="s">
        <v>17</v>
      </c>
      <c r="T27" s="314"/>
      <c r="U27" s="314"/>
      <c r="V27" s="203" t="e">
        <f>INDEX(B11:E56,MATCH(U9,B11:B56,0),MATCH(IF(U13='Feed(WS)'!C3,'Feed(WS)'!C4,U13),C11:E11,0)+1)</f>
        <v>#N/A</v>
      </c>
      <c r="W27" s="213"/>
      <c r="X27" s="180"/>
    </row>
    <row r="28" spans="1:24" ht="17.25" customHeight="1">
      <c r="A28" s="160"/>
      <c r="B28" s="228">
        <v>9.25</v>
      </c>
      <c r="C28" s="159">
        <v>105.09375</v>
      </c>
      <c r="D28" s="159">
        <v>104.59375</v>
      </c>
      <c r="E28" s="231">
        <v>101.4</v>
      </c>
      <c r="F28" s="200"/>
      <c r="G28" s="254" t="s">
        <v>190</v>
      </c>
      <c r="H28" s="255"/>
      <c r="I28" s="189">
        <v>-0.5</v>
      </c>
      <c r="J28" s="189">
        <v>-0.75</v>
      </c>
      <c r="K28" s="189">
        <v>-0.75</v>
      </c>
      <c r="L28" s="189">
        <v>-0.75</v>
      </c>
      <c r="M28" s="189">
        <v>-0.75</v>
      </c>
      <c r="N28" s="189">
        <v>-0.75</v>
      </c>
      <c r="O28" s="189">
        <v>-0.75</v>
      </c>
      <c r="P28" s="189">
        <v>-1</v>
      </c>
      <c r="Q28" s="189">
        <v>-1</v>
      </c>
      <c r="R28" s="199"/>
      <c r="S28" s="314" t="s">
        <v>19</v>
      </c>
      <c r="T28" s="314"/>
      <c r="U28" s="314"/>
      <c r="V28" s="202" t="str">
        <f>IFERROR(IF(AND(U9&lt;&gt;'Feed(WS)'!K137,V29=U59),NA(),V27+V26),"Minimum Rate")</f>
        <v>Minimum Rate</v>
      </c>
      <c r="W28" s="213"/>
      <c r="X28" s="180"/>
    </row>
    <row r="29" spans="1:24" ht="19.5" thickBot="1">
      <c r="A29" s="160"/>
      <c r="B29" s="228">
        <v>9.375</v>
      </c>
      <c r="C29" s="159">
        <v>105.375</v>
      </c>
      <c r="D29" s="159">
        <v>104.875</v>
      </c>
      <c r="E29" s="231">
        <v>101.65</v>
      </c>
      <c r="F29" s="200"/>
      <c r="G29" s="254" t="s">
        <v>191</v>
      </c>
      <c r="H29" s="255"/>
      <c r="I29" s="189">
        <v>-0.5</v>
      </c>
      <c r="J29" s="189">
        <v>-0.75</v>
      </c>
      <c r="K29" s="189">
        <v>-0.75</v>
      </c>
      <c r="L29" s="189">
        <v>-0.75</v>
      </c>
      <c r="M29" s="189">
        <v>-0.75</v>
      </c>
      <c r="N29" s="189">
        <v>-0.75</v>
      </c>
      <c r="O29" s="189">
        <v>-0.75</v>
      </c>
      <c r="P29" s="189">
        <v>-1</v>
      </c>
      <c r="Q29" s="189" t="s">
        <v>307</v>
      </c>
      <c r="R29" s="199"/>
      <c r="S29" s="315" t="s">
        <v>18</v>
      </c>
      <c r="T29" s="315"/>
      <c r="U29" s="315"/>
      <c r="V29" s="203">
        <f>'Feed(WS)'!E136</f>
        <v>0</v>
      </c>
      <c r="W29" s="218"/>
      <c r="X29" s="184"/>
    </row>
    <row r="30" spans="1:24" ht="15" customHeight="1">
      <c r="A30" s="160"/>
      <c r="B30" s="228">
        <v>9.4990000000000006</v>
      </c>
      <c r="C30" s="159">
        <v>105.65625</v>
      </c>
      <c r="D30" s="159">
        <v>105.15625</v>
      </c>
      <c r="E30" s="231">
        <v>101.9</v>
      </c>
      <c r="F30" s="200"/>
      <c r="G30" s="254" t="s">
        <v>192</v>
      </c>
      <c r="H30" s="255"/>
      <c r="I30" s="189">
        <v>-0.5</v>
      </c>
      <c r="J30" s="189">
        <v>-0.75</v>
      </c>
      <c r="K30" s="189">
        <v>-0.75</v>
      </c>
      <c r="L30" s="189">
        <v>-0.75</v>
      </c>
      <c r="M30" s="189">
        <v>-0.75</v>
      </c>
      <c r="N30" s="189">
        <v>-0.75</v>
      </c>
      <c r="O30" s="189">
        <v>-0.75</v>
      </c>
      <c r="P30" s="189">
        <v>-1</v>
      </c>
      <c r="Q30" s="189" t="s">
        <v>307</v>
      </c>
      <c r="R30" s="199"/>
      <c r="S30" s="316" t="s">
        <v>20</v>
      </c>
      <c r="T30" s="316"/>
      <c r="U30" s="316"/>
      <c r="V30" s="219" t="e">
        <f>IF(OR(V26="#NA",V27="#NA",V28="Minimum Rate"),NA(),IF(AND(IF(V28&gt;V29,V29,V28)&lt;'Feed(WS)'!E147,U21='Feed(WS)'!N5),NA(),IF(V28&gt;V29,V29,V28)))</f>
        <v>#N/A</v>
      </c>
      <c r="W30" s="220"/>
      <c r="X30" s="185"/>
    </row>
    <row r="31" spans="1:24" ht="15" customHeight="1">
      <c r="A31" s="160"/>
      <c r="B31" s="228">
        <v>9.625</v>
      </c>
      <c r="C31" s="159">
        <v>105.9375</v>
      </c>
      <c r="D31" s="159">
        <v>105.4375</v>
      </c>
      <c r="E31" s="231">
        <v>102.15</v>
      </c>
      <c r="F31" s="200"/>
      <c r="G31" s="254" t="s">
        <v>193</v>
      </c>
      <c r="H31" s="255"/>
      <c r="I31" s="189">
        <v>-0.5</v>
      </c>
      <c r="J31" s="189">
        <v>-1</v>
      </c>
      <c r="K31" s="189">
        <v>-1</v>
      </c>
      <c r="L31" s="189">
        <v>-1</v>
      </c>
      <c r="M31" s="189">
        <v>-1</v>
      </c>
      <c r="N31" s="189">
        <v>-2</v>
      </c>
      <c r="O31" s="189" t="s">
        <v>307</v>
      </c>
      <c r="P31" s="189" t="s">
        <v>307</v>
      </c>
      <c r="Q31" s="189" t="s">
        <v>307</v>
      </c>
      <c r="R31" s="199"/>
      <c r="S31" s="274" t="s">
        <v>238</v>
      </c>
      <c r="T31" s="275"/>
      <c r="U31" s="275"/>
      <c r="V31" s="276"/>
      <c r="W31" s="221"/>
      <c r="X31" s="186"/>
    </row>
    <row r="32" spans="1:24" ht="15.75" customHeight="1">
      <c r="A32" s="160"/>
      <c r="B32" s="228">
        <v>9.75</v>
      </c>
      <c r="C32" s="159">
        <v>106.125</v>
      </c>
      <c r="D32" s="159">
        <v>105.625</v>
      </c>
      <c r="E32" s="231">
        <v>102.4</v>
      </c>
      <c r="F32" s="200"/>
      <c r="G32" s="309" t="s">
        <v>9</v>
      </c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199"/>
      <c r="S32" s="277" t="s">
        <v>239</v>
      </c>
      <c r="T32" s="277"/>
      <c r="U32" s="278">
        <v>175000</v>
      </c>
      <c r="V32" s="278"/>
      <c r="W32" s="221" t="str" cm="1">
        <f t="array" ref="W32">IF(OR(U10:U24="Choose a Selection"),"",CONCATENATE('Feed(WS)'!I137," ",'Feed(WS)'!K137,"%"&amp;" @ "&amp;'Feed(WS)'!L137))</f>
        <v/>
      </c>
      <c r="X32" s="187"/>
    </row>
    <row r="33" spans="1:24" ht="15" customHeight="1">
      <c r="A33" s="160"/>
      <c r="B33" s="228">
        <v>9.875</v>
      </c>
      <c r="C33" s="159">
        <v>106.3125</v>
      </c>
      <c r="D33" s="159">
        <v>105.8125</v>
      </c>
      <c r="E33" s="231">
        <v>102.65</v>
      </c>
      <c r="F33" s="200"/>
      <c r="G33" s="254" t="s">
        <v>299</v>
      </c>
      <c r="H33" s="255"/>
      <c r="I33" s="189">
        <v>-2.5</v>
      </c>
      <c r="J33" s="189">
        <v>-2.5</v>
      </c>
      <c r="K33" s="189">
        <v>-2.5</v>
      </c>
      <c r="L33" s="189">
        <v>-2.5</v>
      </c>
      <c r="M33" s="189">
        <v>-2.5</v>
      </c>
      <c r="N33" s="189">
        <v>-2.5</v>
      </c>
      <c r="O33" s="189">
        <v>-2.5</v>
      </c>
      <c r="P33" s="189">
        <v>-2.5</v>
      </c>
      <c r="Q33" s="189" t="s">
        <v>307</v>
      </c>
      <c r="R33" s="199"/>
      <c r="S33" s="279" t="s">
        <v>240</v>
      </c>
      <c r="T33" s="279"/>
      <c r="U33" s="193">
        <v>2.25</v>
      </c>
      <c r="V33" s="194">
        <f>U33/100*U32</f>
        <v>3937.5</v>
      </c>
      <c r="W33" s="221"/>
      <c r="X33" s="186"/>
    </row>
    <row r="34" spans="1:24" ht="15" customHeight="1">
      <c r="A34" s="160"/>
      <c r="B34" s="228">
        <v>9.9990000000000006</v>
      </c>
      <c r="C34" s="159">
        <v>106.5</v>
      </c>
      <c r="D34" s="159">
        <v>106</v>
      </c>
      <c r="E34" s="231">
        <v>102.9</v>
      </c>
      <c r="F34" s="200"/>
      <c r="G34" s="254" t="s">
        <v>32</v>
      </c>
      <c r="H34" s="255"/>
      <c r="I34" s="189">
        <v>-1</v>
      </c>
      <c r="J34" s="189">
        <v>-1</v>
      </c>
      <c r="K34" s="189">
        <v>-1</v>
      </c>
      <c r="L34" s="189">
        <v>-1</v>
      </c>
      <c r="M34" s="189">
        <v>-1</v>
      </c>
      <c r="N34" s="189">
        <v>-1.25</v>
      </c>
      <c r="O34" s="189">
        <v>-1.5</v>
      </c>
      <c r="P34" s="189">
        <v>-1.5</v>
      </c>
      <c r="Q34" s="189" t="s">
        <v>307</v>
      </c>
      <c r="R34" s="199"/>
      <c r="S34" s="272" t="s">
        <v>241</v>
      </c>
      <c r="T34" s="272"/>
      <c r="U34" s="195">
        <v>100</v>
      </c>
      <c r="V34" s="196">
        <f>U34/U32*100</f>
        <v>5.7142857142857148E-2</v>
      </c>
      <c r="W34" s="222"/>
      <c r="X34" s="187"/>
    </row>
    <row r="35" spans="1:24" ht="15" customHeight="1">
      <c r="A35" s="160"/>
      <c r="B35" s="228">
        <v>10.125</v>
      </c>
      <c r="C35" s="159">
        <v>106.6875</v>
      </c>
      <c r="D35" s="159">
        <v>106.1875</v>
      </c>
      <c r="E35" s="231">
        <v>103.15</v>
      </c>
      <c r="F35" s="200"/>
      <c r="G35" s="309" t="s">
        <v>23</v>
      </c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199"/>
      <c r="S35" s="272" t="s">
        <v>242</v>
      </c>
      <c r="T35" s="272"/>
      <c r="U35" s="273">
        <f>U33+V34</f>
        <v>2.3071428571428569</v>
      </c>
      <c r="V35" s="273"/>
      <c r="W35" s="222"/>
      <c r="X35" s="187"/>
    </row>
    <row r="36" spans="1:24" ht="15" customHeight="1" thickBot="1">
      <c r="A36" s="160"/>
      <c r="B36" s="228">
        <v>10.25</v>
      </c>
      <c r="C36" s="159">
        <v>106.875</v>
      </c>
      <c r="D36" s="159">
        <v>106.375</v>
      </c>
      <c r="E36" s="231">
        <v>103.4</v>
      </c>
      <c r="F36" s="200"/>
      <c r="G36" s="254" t="s">
        <v>186</v>
      </c>
      <c r="H36" s="255"/>
      <c r="I36" s="189">
        <v>-0.25</v>
      </c>
      <c r="J36" s="189">
        <v>-0.25</v>
      </c>
      <c r="K36" s="189">
        <v>-0.25</v>
      </c>
      <c r="L36" s="189">
        <v>-0.25</v>
      </c>
      <c r="M36" s="189">
        <v>-0.25</v>
      </c>
      <c r="N36" s="189">
        <v>-0.25</v>
      </c>
      <c r="O36" s="189">
        <v>-0.25</v>
      </c>
      <c r="P36" s="189">
        <v>-0.5</v>
      </c>
      <c r="Q36" s="189">
        <v>-1</v>
      </c>
      <c r="R36" s="199"/>
      <c r="S36" s="283" t="s">
        <v>243</v>
      </c>
      <c r="T36" s="284"/>
      <c r="U36" s="285" t="e">
        <f>V30-U35</f>
        <v>#N/A</v>
      </c>
      <c r="V36" s="286"/>
      <c r="W36" s="223"/>
      <c r="X36" s="188"/>
    </row>
    <row r="37" spans="1:24" ht="15.75" customHeight="1">
      <c r="A37" s="160"/>
      <c r="B37" s="228">
        <v>10.375</v>
      </c>
      <c r="C37" s="159">
        <v>107.0625</v>
      </c>
      <c r="D37" s="159">
        <v>106.5625</v>
      </c>
      <c r="E37" s="231">
        <v>103.65</v>
      </c>
      <c r="F37" s="200"/>
      <c r="G37" s="254" t="s">
        <v>144</v>
      </c>
      <c r="H37" s="255"/>
      <c r="I37" s="189">
        <v>0.25</v>
      </c>
      <c r="J37" s="189">
        <v>0.25</v>
      </c>
      <c r="K37" s="189">
        <v>0.25</v>
      </c>
      <c r="L37" s="189">
        <v>0.25</v>
      </c>
      <c r="M37" s="189">
        <v>0.25</v>
      </c>
      <c r="N37" s="189">
        <v>0.25</v>
      </c>
      <c r="O37" s="189">
        <v>0.25</v>
      </c>
      <c r="P37" s="189">
        <v>0</v>
      </c>
      <c r="Q37" s="189">
        <v>0</v>
      </c>
      <c r="R37" s="199"/>
      <c r="S37" s="288" t="s">
        <v>301</v>
      </c>
      <c r="T37" s="288"/>
      <c r="U37" s="288"/>
      <c r="V37" s="288"/>
      <c r="W37" s="288"/>
      <c r="X37" s="168"/>
    </row>
    <row r="38" spans="1:24" ht="15.75" customHeight="1">
      <c r="A38" s="160"/>
      <c r="B38" s="228">
        <v>10.499000000000001</v>
      </c>
      <c r="C38" s="159">
        <v>107.25</v>
      </c>
      <c r="D38" s="159">
        <v>106.75</v>
      </c>
      <c r="E38" s="231">
        <v>104.15</v>
      </c>
      <c r="F38" s="200"/>
      <c r="G38" s="254" t="s">
        <v>145</v>
      </c>
      <c r="H38" s="255"/>
      <c r="I38" s="189">
        <v>0.375</v>
      </c>
      <c r="J38" s="189">
        <v>0.375</v>
      </c>
      <c r="K38" s="189">
        <v>0.375</v>
      </c>
      <c r="L38" s="189">
        <v>0.375</v>
      </c>
      <c r="M38" s="189">
        <v>0.375</v>
      </c>
      <c r="N38" s="189">
        <v>0.375</v>
      </c>
      <c r="O38" s="189">
        <v>0.375</v>
      </c>
      <c r="P38" s="189">
        <v>0.375</v>
      </c>
      <c r="Q38" s="189">
        <v>0.375</v>
      </c>
      <c r="R38" s="199"/>
      <c r="S38" s="289"/>
      <c r="T38" s="289"/>
      <c r="U38" s="289"/>
      <c r="V38" s="289"/>
      <c r="W38" s="289"/>
      <c r="X38" s="169"/>
    </row>
    <row r="39" spans="1:24" ht="14.25" customHeight="1">
      <c r="A39" s="160"/>
      <c r="B39" s="228">
        <v>10.625</v>
      </c>
      <c r="C39" s="159">
        <v>107.4375</v>
      </c>
      <c r="D39" s="159">
        <v>106.9375</v>
      </c>
      <c r="E39" s="231">
        <v>104.65</v>
      </c>
      <c r="F39" s="199"/>
      <c r="G39" s="254" t="s">
        <v>155</v>
      </c>
      <c r="H39" s="255"/>
      <c r="I39" s="189">
        <v>0.5</v>
      </c>
      <c r="J39" s="189">
        <v>0.5</v>
      </c>
      <c r="K39" s="189">
        <v>0.5</v>
      </c>
      <c r="L39" s="189">
        <v>0.5</v>
      </c>
      <c r="M39" s="189">
        <v>0.5</v>
      </c>
      <c r="N39" s="189">
        <v>0.5</v>
      </c>
      <c r="O39" s="189">
        <v>0.5</v>
      </c>
      <c r="P39" s="189">
        <v>0.5</v>
      </c>
      <c r="Q39" s="189">
        <v>0.5</v>
      </c>
      <c r="R39" s="199"/>
      <c r="S39" s="289"/>
      <c r="T39" s="289"/>
      <c r="U39" s="289"/>
      <c r="V39" s="289"/>
      <c r="W39" s="289"/>
      <c r="X39" s="169"/>
    </row>
    <row r="40" spans="1:24" ht="14.25" customHeight="1" thickBot="1">
      <c r="A40" s="160"/>
      <c r="B40" s="228">
        <v>10.75</v>
      </c>
      <c r="C40" s="159">
        <v>107.625</v>
      </c>
      <c r="D40" s="159">
        <v>107.125</v>
      </c>
      <c r="E40" s="231">
        <v>105.15</v>
      </c>
      <c r="F40" s="199"/>
      <c r="G40" s="254" t="s">
        <v>156</v>
      </c>
      <c r="H40" s="255"/>
      <c r="I40" s="189">
        <v>0.5</v>
      </c>
      <c r="J40" s="189">
        <v>0.5</v>
      </c>
      <c r="K40" s="189">
        <v>0.5</v>
      </c>
      <c r="L40" s="189">
        <v>0.5</v>
      </c>
      <c r="M40" s="189">
        <v>0.5</v>
      </c>
      <c r="N40" s="189">
        <v>0.5</v>
      </c>
      <c r="O40" s="189">
        <v>0.5</v>
      </c>
      <c r="P40" s="189">
        <v>0.5</v>
      </c>
      <c r="Q40" s="189">
        <v>0.5</v>
      </c>
      <c r="R40" s="199"/>
      <c r="S40" s="271"/>
      <c r="T40" s="271"/>
      <c r="U40" s="271"/>
      <c r="V40" s="271"/>
      <c r="W40" s="271"/>
      <c r="X40" s="169"/>
    </row>
    <row r="41" spans="1:24" ht="15.75" customHeight="1">
      <c r="A41" s="160"/>
      <c r="B41" s="228">
        <v>10.875</v>
      </c>
      <c r="C41" s="159">
        <v>107.8125</v>
      </c>
      <c r="D41" s="159">
        <v>107.3125</v>
      </c>
      <c r="E41" s="231">
        <v>105.65</v>
      </c>
      <c r="F41" s="200"/>
      <c r="G41" s="254" t="s">
        <v>188</v>
      </c>
      <c r="H41" s="255"/>
      <c r="I41" s="189">
        <v>0</v>
      </c>
      <c r="J41" s="189">
        <v>0</v>
      </c>
      <c r="K41" s="189">
        <v>0</v>
      </c>
      <c r="L41" s="189">
        <v>0</v>
      </c>
      <c r="M41" s="189">
        <v>0</v>
      </c>
      <c r="N41" s="189">
        <v>0</v>
      </c>
      <c r="O41" s="189">
        <v>0</v>
      </c>
      <c r="P41" s="189">
        <v>0</v>
      </c>
      <c r="Q41" s="189">
        <v>0</v>
      </c>
      <c r="R41" s="199"/>
      <c r="S41" s="288" t="s">
        <v>122</v>
      </c>
      <c r="T41" s="288"/>
      <c r="U41" s="288"/>
      <c r="V41" s="288"/>
      <c r="W41" s="288"/>
      <c r="X41" s="169"/>
    </row>
    <row r="42" spans="1:24" ht="14.25" customHeight="1">
      <c r="A42" s="160"/>
      <c r="B42" s="228">
        <v>10.999000000000001</v>
      </c>
      <c r="C42" s="159">
        <v>108</v>
      </c>
      <c r="D42" s="159">
        <v>107.5</v>
      </c>
      <c r="E42" s="231">
        <v>105.9</v>
      </c>
      <c r="F42" s="200"/>
      <c r="G42" s="309" t="s">
        <v>279</v>
      </c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199"/>
      <c r="S42" s="289"/>
      <c r="T42" s="289"/>
      <c r="U42" s="289"/>
      <c r="V42" s="289"/>
      <c r="W42" s="289"/>
      <c r="X42" s="169"/>
    </row>
    <row r="43" spans="1:24" ht="15.75" customHeight="1">
      <c r="A43" s="160"/>
      <c r="B43" s="228">
        <v>11.125</v>
      </c>
      <c r="C43" s="159">
        <v>108.1875</v>
      </c>
      <c r="D43" s="159">
        <v>107.6875</v>
      </c>
      <c r="E43" s="231">
        <v>106.15</v>
      </c>
      <c r="F43" s="200"/>
      <c r="G43" s="254" t="s">
        <v>142</v>
      </c>
      <c r="H43" s="255"/>
      <c r="I43" s="189">
        <v>0</v>
      </c>
      <c r="J43" s="189">
        <v>0</v>
      </c>
      <c r="K43" s="189">
        <v>0</v>
      </c>
      <c r="L43" s="189">
        <v>0</v>
      </c>
      <c r="M43" s="189">
        <v>0</v>
      </c>
      <c r="N43" s="189">
        <v>0</v>
      </c>
      <c r="O43" s="189">
        <v>0</v>
      </c>
      <c r="P43" s="189">
        <v>0</v>
      </c>
      <c r="Q43" s="189">
        <v>0</v>
      </c>
      <c r="R43" s="199"/>
      <c r="S43" s="289"/>
      <c r="T43" s="289"/>
      <c r="U43" s="289"/>
      <c r="V43" s="289"/>
      <c r="W43" s="289"/>
      <c r="X43" s="169"/>
    </row>
    <row r="44" spans="1:24" ht="14.25" customHeight="1">
      <c r="A44" s="160"/>
      <c r="B44" s="228">
        <v>11.25</v>
      </c>
      <c r="C44" s="159">
        <v>108.375</v>
      </c>
      <c r="D44" s="159">
        <v>107.875</v>
      </c>
      <c r="E44" s="231">
        <v>106.4</v>
      </c>
      <c r="F44" s="200"/>
      <c r="G44" s="254" t="s">
        <v>143</v>
      </c>
      <c r="H44" s="255"/>
      <c r="I44" s="189">
        <v>-0.25</v>
      </c>
      <c r="J44" s="189">
        <v>-0.25</v>
      </c>
      <c r="K44" s="189">
        <v>-0.25</v>
      </c>
      <c r="L44" s="189">
        <v>-0.25</v>
      </c>
      <c r="M44" s="189">
        <v>-0.25</v>
      </c>
      <c r="N44" s="189">
        <v>-0.5</v>
      </c>
      <c r="O44" s="189">
        <v>-0.5</v>
      </c>
      <c r="P44" s="189">
        <v>-0.75</v>
      </c>
      <c r="Q44" s="189">
        <v>-0.75</v>
      </c>
      <c r="R44" s="199"/>
      <c r="S44" s="199"/>
      <c r="T44" s="199"/>
      <c r="U44" s="199"/>
      <c r="V44" s="199"/>
      <c r="W44" s="199"/>
      <c r="X44" s="169"/>
    </row>
    <row r="45" spans="1:24" ht="14.25" customHeight="1">
      <c r="A45" s="160"/>
      <c r="B45" s="228">
        <v>11.375</v>
      </c>
      <c r="C45" s="159">
        <v>108.5625</v>
      </c>
      <c r="D45" s="159">
        <v>108.0625</v>
      </c>
      <c r="E45" s="231">
        <v>106.65</v>
      </c>
      <c r="F45" s="200"/>
      <c r="G45" s="254" t="s">
        <v>185</v>
      </c>
      <c r="H45" s="255"/>
      <c r="I45" s="189">
        <v>-0.5</v>
      </c>
      <c r="J45" s="189">
        <v>-0.5</v>
      </c>
      <c r="K45" s="189">
        <v>-0.5</v>
      </c>
      <c r="L45" s="189">
        <v>-0.5</v>
      </c>
      <c r="M45" s="189">
        <v>-0.5</v>
      </c>
      <c r="N45" s="189">
        <v>-1</v>
      </c>
      <c r="O45" s="189">
        <v>-1</v>
      </c>
      <c r="P45" s="189" t="s">
        <v>307</v>
      </c>
      <c r="Q45" s="189" t="s">
        <v>307</v>
      </c>
      <c r="R45" s="199"/>
      <c r="S45" s="199"/>
      <c r="T45" s="199"/>
      <c r="U45" s="199"/>
      <c r="V45" s="199"/>
      <c r="W45" s="199"/>
      <c r="X45" s="169"/>
    </row>
    <row r="46" spans="1:24" ht="14.25" customHeight="1">
      <c r="A46" s="160"/>
      <c r="B46" s="228">
        <v>11.499000000000001</v>
      </c>
      <c r="C46" s="159">
        <v>108.75</v>
      </c>
      <c r="D46" s="159">
        <v>108.25</v>
      </c>
      <c r="E46" s="231">
        <v>106.9</v>
      </c>
      <c r="F46" s="200"/>
      <c r="G46" s="309" t="s">
        <v>280</v>
      </c>
      <c r="H46" s="309"/>
      <c r="I46" s="309"/>
      <c r="J46" s="309"/>
      <c r="K46" s="309"/>
      <c r="L46" s="309"/>
      <c r="M46" s="309"/>
      <c r="N46" s="309"/>
      <c r="O46" s="309"/>
      <c r="P46" s="309"/>
      <c r="Q46" s="309"/>
      <c r="R46" s="199"/>
      <c r="S46" s="199"/>
      <c r="T46" s="199"/>
      <c r="U46" s="199"/>
      <c r="V46" s="199"/>
      <c r="W46" s="199"/>
      <c r="X46" s="169"/>
    </row>
    <row r="47" spans="1:24" ht="15.75" customHeight="1">
      <c r="A47" s="160"/>
      <c r="B47" s="228">
        <v>11.625</v>
      </c>
      <c r="C47" s="159">
        <v>108.9375</v>
      </c>
      <c r="D47" s="159">
        <v>108.4375</v>
      </c>
      <c r="E47" s="231">
        <v>107.15</v>
      </c>
      <c r="F47" s="200"/>
      <c r="G47" s="254" t="s">
        <v>194</v>
      </c>
      <c r="H47" s="255"/>
      <c r="I47" s="189">
        <v>-3</v>
      </c>
      <c r="J47" s="189">
        <v>-3</v>
      </c>
      <c r="K47" s="189">
        <v>-3</v>
      </c>
      <c r="L47" s="189">
        <v>-3</v>
      </c>
      <c r="M47" s="189">
        <v>-3.5</v>
      </c>
      <c r="N47" s="189">
        <v>-3.5</v>
      </c>
      <c r="O47" s="189" t="s">
        <v>307</v>
      </c>
      <c r="P47" s="189" t="s">
        <v>307</v>
      </c>
      <c r="Q47" s="189" t="s">
        <v>307</v>
      </c>
      <c r="R47" s="199"/>
      <c r="S47" s="199"/>
      <c r="T47" s="199"/>
      <c r="U47" s="199"/>
      <c r="V47" s="199"/>
      <c r="W47" s="199"/>
      <c r="X47" s="169"/>
    </row>
    <row r="48" spans="1:24" ht="15.75" customHeight="1" thickBot="1">
      <c r="A48" s="160"/>
      <c r="B48" s="228">
        <v>11.75</v>
      </c>
      <c r="C48" s="159">
        <v>109.125</v>
      </c>
      <c r="D48" s="159">
        <v>108.625</v>
      </c>
      <c r="E48" s="231">
        <v>107.4</v>
      </c>
      <c r="F48" s="200"/>
      <c r="G48" s="254" t="s">
        <v>290</v>
      </c>
      <c r="H48" s="255"/>
      <c r="I48" s="189">
        <v>-1.5</v>
      </c>
      <c r="J48" s="189">
        <v>-1.5</v>
      </c>
      <c r="K48" s="189">
        <v>-1.5</v>
      </c>
      <c r="L48" s="189">
        <v>-1.5</v>
      </c>
      <c r="M48" s="189">
        <v>-1.5</v>
      </c>
      <c r="N48" s="189">
        <v>-1.5</v>
      </c>
      <c r="O48" s="189" t="s">
        <v>307</v>
      </c>
      <c r="P48" s="189" t="s">
        <v>307</v>
      </c>
      <c r="Q48" s="189" t="s">
        <v>307</v>
      </c>
      <c r="R48" s="199"/>
      <c r="S48" s="199"/>
      <c r="T48" s="199"/>
      <c r="U48" s="199"/>
      <c r="V48" s="199"/>
      <c r="W48" s="199"/>
      <c r="X48" s="170"/>
    </row>
    <row r="49" spans="1:39" ht="15" customHeight="1">
      <c r="A49" s="160"/>
      <c r="B49" s="228">
        <v>11.875</v>
      </c>
      <c r="C49" s="159">
        <v>109.3125</v>
      </c>
      <c r="D49" s="159">
        <v>108.8125</v>
      </c>
      <c r="E49" s="231">
        <v>107.65</v>
      </c>
      <c r="F49" s="200"/>
      <c r="G49" s="309" t="s">
        <v>281</v>
      </c>
      <c r="H49" s="309"/>
      <c r="I49" s="309"/>
      <c r="J49" s="309"/>
      <c r="K49" s="309"/>
      <c r="L49" s="309"/>
      <c r="M49" s="309"/>
      <c r="N49" s="309"/>
      <c r="O49" s="309"/>
      <c r="P49" s="309"/>
      <c r="Q49" s="309"/>
      <c r="R49" s="199"/>
      <c r="S49" s="199"/>
      <c r="T49" s="199"/>
      <c r="U49" s="199"/>
      <c r="V49" s="199"/>
      <c r="W49" s="199"/>
      <c r="X49" s="162"/>
    </row>
    <row r="50" spans="1:39" ht="13.5" customHeight="1">
      <c r="A50" s="160"/>
      <c r="B50" s="228">
        <v>11.999000000000001</v>
      </c>
      <c r="C50" s="159">
        <v>109.5</v>
      </c>
      <c r="D50" s="159">
        <v>109</v>
      </c>
      <c r="E50" s="231">
        <v>107.9</v>
      </c>
      <c r="F50" s="200"/>
      <c r="G50" s="254" t="s">
        <v>295</v>
      </c>
      <c r="H50" s="255"/>
      <c r="I50" s="189">
        <v>-0.125</v>
      </c>
      <c r="J50" s="189">
        <v>-0.125</v>
      </c>
      <c r="K50" s="189">
        <v>-0.125</v>
      </c>
      <c r="L50" s="189">
        <v>-0.25</v>
      </c>
      <c r="M50" s="189">
        <v>-0.25</v>
      </c>
      <c r="N50" s="189">
        <v>-0.25</v>
      </c>
      <c r="O50" s="189" t="s">
        <v>307</v>
      </c>
      <c r="P50" s="189" t="s">
        <v>307</v>
      </c>
      <c r="Q50" s="189" t="s">
        <v>307</v>
      </c>
      <c r="R50" s="199"/>
      <c r="S50" s="199"/>
      <c r="T50" s="199"/>
      <c r="U50" s="199"/>
      <c r="V50" s="199"/>
      <c r="W50" s="199"/>
      <c r="X50" s="162"/>
    </row>
    <row r="51" spans="1:39" ht="15.75" customHeight="1">
      <c r="A51" s="160"/>
      <c r="B51" s="229">
        <v>12.125</v>
      </c>
      <c r="C51" s="230">
        <v>109.6875</v>
      </c>
      <c r="D51" s="230">
        <v>109.1875</v>
      </c>
      <c r="E51" s="232">
        <v>108.15</v>
      </c>
      <c r="F51" s="199"/>
      <c r="G51" s="254" t="s">
        <v>296</v>
      </c>
      <c r="H51" s="255"/>
      <c r="I51" s="189">
        <v>-0.5</v>
      </c>
      <c r="J51" s="189">
        <v>-0.5</v>
      </c>
      <c r="K51" s="189">
        <v>-0.5</v>
      </c>
      <c r="L51" s="189">
        <v>-1</v>
      </c>
      <c r="M51" s="189">
        <v>-1</v>
      </c>
      <c r="N51" s="189">
        <v>-1</v>
      </c>
      <c r="O51" s="189" t="s">
        <v>307</v>
      </c>
      <c r="P51" s="189" t="s">
        <v>307</v>
      </c>
      <c r="Q51" s="189" t="s">
        <v>307</v>
      </c>
      <c r="R51" s="199"/>
      <c r="S51" s="199"/>
      <c r="T51" s="199"/>
      <c r="U51" s="199"/>
      <c r="V51" s="199"/>
      <c r="W51" s="199"/>
      <c r="X51" s="162"/>
    </row>
    <row r="52" spans="1:39" ht="15" customHeight="1">
      <c r="A52" s="160"/>
      <c r="B52" s="224"/>
      <c r="C52" s="225"/>
      <c r="D52" s="225"/>
      <c r="E52" s="225"/>
      <c r="F52" s="199"/>
      <c r="G52" s="254" t="s">
        <v>297</v>
      </c>
      <c r="H52" s="255"/>
      <c r="I52" s="189">
        <v>0</v>
      </c>
      <c r="J52" s="189">
        <v>-0.125</v>
      </c>
      <c r="K52" s="189">
        <v>-0.125</v>
      </c>
      <c r="L52" s="189">
        <v>-0.25</v>
      </c>
      <c r="M52" s="189">
        <v>-0.25</v>
      </c>
      <c r="N52" s="189">
        <v>-0.5</v>
      </c>
      <c r="O52" s="189">
        <v>-0.5</v>
      </c>
      <c r="P52" s="189" t="s">
        <v>307</v>
      </c>
      <c r="Q52" s="189" t="s">
        <v>307</v>
      </c>
      <c r="R52" s="205"/>
      <c r="S52" s="199"/>
      <c r="T52" s="199"/>
      <c r="U52" s="199"/>
      <c r="V52" s="199"/>
      <c r="W52" s="199"/>
      <c r="X52" s="162"/>
    </row>
    <row r="53" spans="1:39" s="48" customFormat="1" ht="15.75" customHeight="1">
      <c r="A53" s="161"/>
      <c r="B53" s="224"/>
      <c r="C53" s="225"/>
      <c r="D53" s="225"/>
      <c r="E53" s="225"/>
      <c r="F53" s="199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200"/>
      <c r="S53" s="199"/>
      <c r="T53" s="199"/>
      <c r="U53" s="199"/>
      <c r="V53" s="199"/>
      <c r="W53" s="199"/>
      <c r="X53" s="162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>
      <c r="A54" s="161"/>
      <c r="B54" s="224"/>
      <c r="C54" s="225"/>
      <c r="D54" s="225"/>
      <c r="E54" s="225"/>
      <c r="F54" s="199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200"/>
      <c r="S54" s="199"/>
      <c r="T54" s="199"/>
      <c r="U54" s="199"/>
      <c r="V54" s="199"/>
      <c r="W54" s="199"/>
      <c r="X54" s="162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>
      <c r="A55" s="161"/>
      <c r="B55" s="224"/>
      <c r="C55" s="225"/>
      <c r="D55" s="225"/>
      <c r="E55" s="225"/>
      <c r="F55" s="199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200"/>
      <c r="S55" s="199"/>
      <c r="T55" s="199"/>
      <c r="U55" s="199"/>
      <c r="V55" s="199"/>
      <c r="W55" s="199"/>
      <c r="X55" s="162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161"/>
      <c r="B56" s="322" t="s">
        <v>288</v>
      </c>
      <c r="C56" s="322"/>
      <c r="D56" s="322" t="s">
        <v>289</v>
      </c>
      <c r="E56" s="322"/>
      <c r="F56" s="199"/>
      <c r="G56" s="320" t="s">
        <v>282</v>
      </c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199"/>
      <c r="S56" s="199"/>
      <c r="T56" s="317" t="s">
        <v>308</v>
      </c>
      <c r="U56" s="317"/>
      <c r="V56" s="317" t="s">
        <v>11</v>
      </c>
      <c r="W56" s="317"/>
      <c r="X56" s="162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161"/>
      <c r="B57" s="252" t="s">
        <v>30</v>
      </c>
      <c r="C57" s="252"/>
      <c r="D57" s="253">
        <v>0</v>
      </c>
      <c r="E57" s="253"/>
      <c r="F57" s="199"/>
      <c r="G57" s="257" t="s">
        <v>283</v>
      </c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199"/>
      <c r="S57" s="199"/>
      <c r="T57" s="197" t="s">
        <v>308</v>
      </c>
      <c r="U57" s="189">
        <v>102</v>
      </c>
      <c r="V57" s="197" t="s">
        <v>36</v>
      </c>
      <c r="W57" s="189">
        <v>0</v>
      </c>
      <c r="X57" s="162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160"/>
      <c r="B58" s="252" t="s">
        <v>15</v>
      </c>
      <c r="C58" s="252"/>
      <c r="D58" s="253">
        <v>0</v>
      </c>
      <c r="E58" s="253"/>
      <c r="F58" s="199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199"/>
      <c r="S58" s="199"/>
      <c r="T58" s="197" t="s">
        <v>309</v>
      </c>
      <c r="U58" s="189">
        <v>12.25</v>
      </c>
      <c r="V58" s="197" t="s">
        <v>150</v>
      </c>
      <c r="W58" s="189">
        <v>0.125</v>
      </c>
      <c r="X58" s="162"/>
      <c r="AI58" s="48"/>
      <c r="AJ58" s="48"/>
    </row>
    <row r="59" spans="1:39" ht="15.75" customHeight="1">
      <c r="A59" s="160"/>
      <c r="B59" s="252" t="s">
        <v>34</v>
      </c>
      <c r="C59" s="252"/>
      <c r="D59" s="253">
        <v>-0.5</v>
      </c>
      <c r="E59" s="253"/>
      <c r="F59" s="199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199"/>
      <c r="S59" s="199"/>
      <c r="T59" s="197" t="s">
        <v>310</v>
      </c>
      <c r="U59" s="189">
        <v>99.75</v>
      </c>
      <c r="V59" s="197" t="s">
        <v>151</v>
      </c>
      <c r="W59" s="189">
        <v>0.125</v>
      </c>
      <c r="X59" s="162"/>
      <c r="AI59" s="48"/>
      <c r="AJ59" s="48"/>
    </row>
    <row r="60" spans="1:39" ht="15.75" customHeight="1">
      <c r="A60" s="160"/>
      <c r="B60" s="321"/>
      <c r="C60" s="321"/>
      <c r="D60" s="321"/>
      <c r="E60" s="321"/>
      <c r="F60" s="199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199"/>
      <c r="S60" s="199"/>
      <c r="T60" s="199"/>
      <c r="U60" s="199"/>
      <c r="V60" s="199"/>
      <c r="W60" s="199"/>
      <c r="X60" s="162"/>
      <c r="AI60" s="48"/>
      <c r="AJ60" s="48"/>
    </row>
    <row r="61" spans="1:39" ht="15.75" customHeight="1">
      <c r="A61" s="160"/>
      <c r="B61" s="199"/>
      <c r="C61" s="199"/>
      <c r="D61" s="199"/>
      <c r="E61" s="199"/>
      <c r="F61" s="199"/>
      <c r="G61" s="320" t="s">
        <v>284</v>
      </c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199"/>
      <c r="S61" s="199"/>
      <c r="T61" s="199"/>
      <c r="U61" s="199"/>
      <c r="V61" s="199"/>
      <c r="W61" s="199"/>
      <c r="X61" s="162"/>
    </row>
    <row r="62" spans="1:39" ht="15.75" customHeight="1">
      <c r="A62" s="160"/>
      <c r="B62" s="199"/>
      <c r="C62" s="199"/>
      <c r="D62" s="199"/>
      <c r="E62" s="199"/>
      <c r="F62" s="199"/>
      <c r="G62" s="282" t="s">
        <v>170</v>
      </c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00"/>
      <c r="S62" s="199"/>
      <c r="T62" s="199"/>
      <c r="U62" s="199"/>
      <c r="V62" s="199"/>
      <c r="W62" s="199"/>
      <c r="X62" s="162"/>
    </row>
    <row r="63" spans="1:39" ht="15.75" customHeight="1">
      <c r="A63" s="160"/>
      <c r="B63" s="199"/>
      <c r="C63" s="199"/>
      <c r="D63" s="199"/>
      <c r="E63" s="199"/>
      <c r="F63" s="199"/>
      <c r="G63" s="256" t="s">
        <v>285</v>
      </c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00"/>
      <c r="S63" s="199"/>
      <c r="T63" s="199"/>
      <c r="U63" s="199"/>
      <c r="V63" s="199"/>
      <c r="W63" s="199"/>
      <c r="X63" s="162"/>
    </row>
    <row r="64" spans="1:39" ht="15.75" customHeight="1">
      <c r="A64" s="160"/>
      <c r="B64" s="199"/>
      <c r="C64" s="199"/>
      <c r="D64" s="199"/>
      <c r="E64" s="199"/>
      <c r="F64" s="200"/>
      <c r="G64" s="199"/>
      <c r="H64" s="199"/>
      <c r="I64" s="199"/>
      <c r="J64" s="200"/>
      <c r="K64" s="200"/>
      <c r="L64" s="200"/>
      <c r="M64" s="200"/>
      <c r="N64" s="200"/>
      <c r="O64" s="200"/>
      <c r="P64" s="201"/>
      <c r="Q64" s="200"/>
      <c r="R64" s="200"/>
      <c r="S64" s="199"/>
      <c r="T64" s="199"/>
      <c r="U64" s="199"/>
      <c r="V64" s="199"/>
      <c r="W64" s="199"/>
      <c r="X64" s="162"/>
    </row>
    <row r="65" spans="2:40" ht="15.75" customHeight="1">
      <c r="B65"/>
      <c r="C65"/>
      <c r="D65"/>
      <c r="E65"/>
      <c r="G65"/>
      <c r="H65"/>
      <c r="I65"/>
      <c r="P65" s="117"/>
      <c r="S65"/>
      <c r="T65"/>
      <c r="U65"/>
      <c r="V65"/>
      <c r="W65"/>
      <c r="X65"/>
    </row>
    <row r="66" spans="2:40" ht="15.75" customHeight="1">
      <c r="B66"/>
      <c r="C66"/>
      <c r="D66"/>
      <c r="E66"/>
      <c r="G66"/>
      <c r="H66"/>
      <c r="I66"/>
      <c r="P66" s="117"/>
      <c r="S66"/>
      <c r="T66"/>
      <c r="U66"/>
      <c r="V66"/>
      <c r="W66"/>
      <c r="X66"/>
    </row>
    <row r="67" spans="2:40" ht="15" customHeight="1">
      <c r="B67"/>
      <c r="C67"/>
      <c r="D67"/>
      <c r="E67"/>
      <c r="F67"/>
      <c r="G67"/>
      <c r="H67"/>
      <c r="I67"/>
      <c r="S67"/>
      <c r="T67"/>
      <c r="U67"/>
      <c r="V67"/>
      <c r="W67"/>
      <c r="X67"/>
      <c r="AI67"/>
      <c r="AJ67"/>
      <c r="AK67"/>
      <c r="AL67"/>
      <c r="AM67"/>
      <c r="AN67"/>
    </row>
    <row r="68" spans="2:40" ht="15" customHeight="1">
      <c r="B68"/>
      <c r="C68"/>
      <c r="D68"/>
      <c r="E68"/>
      <c r="F68"/>
      <c r="G68"/>
      <c r="H68"/>
      <c r="I68"/>
      <c r="J68"/>
      <c r="K68" s="319"/>
      <c r="L68" s="319"/>
      <c r="M68" s="319"/>
      <c r="S68"/>
      <c r="T68"/>
      <c r="U68"/>
      <c r="V68"/>
      <c r="W68"/>
      <c r="X68"/>
      <c r="AI68"/>
      <c r="AJ68"/>
      <c r="AK68"/>
      <c r="AL68"/>
      <c r="AM68"/>
      <c r="AN68"/>
    </row>
    <row r="69" spans="2:40" ht="15.75" customHeight="1">
      <c r="B69"/>
      <c r="C69"/>
      <c r="D69"/>
      <c r="E69"/>
      <c r="F69"/>
      <c r="G69"/>
      <c r="H69"/>
      <c r="I69"/>
      <c r="J69"/>
      <c r="K69" s="167"/>
      <c r="L69" s="167"/>
      <c r="M69" s="167"/>
      <c r="S69"/>
      <c r="T69"/>
      <c r="U69"/>
      <c r="V69"/>
      <c r="W69"/>
      <c r="X69"/>
      <c r="AI69"/>
      <c r="AJ69"/>
      <c r="AK69"/>
      <c r="AL69"/>
      <c r="AM69"/>
      <c r="AN69"/>
    </row>
    <row r="70" spans="2:40" ht="15" customHeight="1">
      <c r="B70"/>
      <c r="C70"/>
      <c r="D70"/>
      <c r="E70"/>
      <c r="F70"/>
      <c r="G70"/>
      <c r="H70"/>
      <c r="I70"/>
      <c r="J70"/>
      <c r="S70"/>
      <c r="T70"/>
      <c r="U70"/>
      <c r="V70"/>
      <c r="W70"/>
      <c r="X70"/>
      <c r="AI70"/>
      <c r="AJ70"/>
      <c r="AK70"/>
      <c r="AL70"/>
      <c r="AM70"/>
      <c r="AN70"/>
    </row>
    <row r="71" spans="2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2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2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2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2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2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2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2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2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2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</row>
    <row r="91" spans="2:24">
      <c r="B91"/>
      <c r="C91"/>
      <c r="D91"/>
      <c r="E91"/>
      <c r="F91"/>
      <c r="G91"/>
      <c r="H91"/>
    </row>
    <row r="92" spans="2:24">
      <c r="B92"/>
      <c r="C92"/>
      <c r="D92"/>
      <c r="E92"/>
      <c r="F92"/>
      <c r="G92"/>
      <c r="H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</row>
    <row r="105" spans="2:8" ht="15" customHeight="1">
      <c r="B105"/>
      <c r="C105"/>
      <c r="D105"/>
      <c r="E105"/>
      <c r="F105"/>
    </row>
    <row r="106" spans="2:8">
      <c r="B106"/>
      <c r="C106"/>
      <c r="D106"/>
      <c r="E106"/>
      <c r="F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seUF87ERdBwcRBdBO0nQcp9JJdz9E9PAkVdMy3WlLixBs/MpK8uk04qiqwOQStGhxqbVbG7PwXgPLAPkyCMSDw==" saltValue="KPNmtUlJaXso+fJJVLzpTg==" spinCount="100000" sheet="1" objects="1" scenarios="1"/>
  <dataConsolidate/>
  <mergeCells count="102">
    <mergeCell ref="B57:C57"/>
    <mergeCell ref="D57:E57"/>
    <mergeCell ref="B58:C58"/>
    <mergeCell ref="D58:E58"/>
    <mergeCell ref="G62:Q62"/>
    <mergeCell ref="G61:Q61"/>
    <mergeCell ref="G12:H12"/>
    <mergeCell ref="G15:H15"/>
    <mergeCell ref="G16:H16"/>
    <mergeCell ref="B60:C60"/>
    <mergeCell ref="D60:E60"/>
    <mergeCell ref="G56:Q56"/>
    <mergeCell ref="G57:Q60"/>
    <mergeCell ref="G40:H40"/>
    <mergeCell ref="G41:H41"/>
    <mergeCell ref="B59:C59"/>
    <mergeCell ref="D59:E59"/>
    <mergeCell ref="G38:H38"/>
    <mergeCell ref="G39:H39"/>
    <mergeCell ref="G44:H44"/>
    <mergeCell ref="B56:C56"/>
    <mergeCell ref="D56:E56"/>
    <mergeCell ref="G19:H19"/>
    <mergeCell ref="G18:H18"/>
    <mergeCell ref="G17:H17"/>
    <mergeCell ref="G14:H14"/>
    <mergeCell ref="G13:H13"/>
    <mergeCell ref="G32:Q32"/>
    <mergeCell ref="G35:Q35"/>
    <mergeCell ref="G33:H33"/>
    <mergeCell ref="G34:H34"/>
    <mergeCell ref="G31:H31"/>
    <mergeCell ref="K68:M68"/>
    <mergeCell ref="G42:Q42"/>
    <mergeCell ref="G43:H43"/>
    <mergeCell ref="T56:U56"/>
    <mergeCell ref="V56:W56"/>
    <mergeCell ref="G63:Q63"/>
    <mergeCell ref="G45:H45"/>
    <mergeCell ref="G46:Q46"/>
    <mergeCell ref="G47:H47"/>
    <mergeCell ref="G48:H48"/>
    <mergeCell ref="G49:Q49"/>
    <mergeCell ref="G50:H50"/>
    <mergeCell ref="G51:H51"/>
    <mergeCell ref="G52:H52"/>
    <mergeCell ref="S25:T25"/>
    <mergeCell ref="S26:U26"/>
    <mergeCell ref="G27:H27"/>
    <mergeCell ref="S28:U28"/>
    <mergeCell ref="G37:H37"/>
    <mergeCell ref="S35:T35"/>
    <mergeCell ref="U35:V35"/>
    <mergeCell ref="S36:T36"/>
    <mergeCell ref="U36:V36"/>
    <mergeCell ref="G36:H36"/>
    <mergeCell ref="S32:T32"/>
    <mergeCell ref="U32:V32"/>
    <mergeCell ref="S33:T33"/>
    <mergeCell ref="S34:T34"/>
    <mergeCell ref="G25:Q25"/>
    <mergeCell ref="S29:U29"/>
    <mergeCell ref="G28:H28"/>
    <mergeCell ref="G26:H26"/>
    <mergeCell ref="S30:U30"/>
    <mergeCell ref="S31:V31"/>
    <mergeCell ref="S27:U27"/>
    <mergeCell ref="G29:H29"/>
    <mergeCell ref="G30:H30"/>
    <mergeCell ref="S22:T22"/>
    <mergeCell ref="G23:H23"/>
    <mergeCell ref="S24:T24"/>
    <mergeCell ref="G21:Q21"/>
    <mergeCell ref="G22:Q22"/>
    <mergeCell ref="G24:H24"/>
    <mergeCell ref="S18:T18"/>
    <mergeCell ref="S19:T19"/>
    <mergeCell ref="S20:T20"/>
    <mergeCell ref="S41:W43"/>
    <mergeCell ref="S37:W40"/>
    <mergeCell ref="B10:E10"/>
    <mergeCell ref="G10:Q10"/>
    <mergeCell ref="P1:Q2"/>
    <mergeCell ref="P5:Q5"/>
    <mergeCell ref="I1:L2"/>
    <mergeCell ref="B7:E8"/>
    <mergeCell ref="P6:Q6"/>
    <mergeCell ref="G7:Q8"/>
    <mergeCell ref="B2:D2"/>
    <mergeCell ref="C3:D3"/>
    <mergeCell ref="S17:T17"/>
    <mergeCell ref="S7:W8"/>
    <mergeCell ref="S14:T14"/>
    <mergeCell ref="S9:T9"/>
    <mergeCell ref="S10:T10"/>
    <mergeCell ref="S11:T11"/>
    <mergeCell ref="S12:T12"/>
    <mergeCell ref="S13:T13"/>
    <mergeCell ref="S15:T15"/>
    <mergeCell ref="S16:T16"/>
    <mergeCell ref="S23:T23"/>
    <mergeCell ref="S21:T21"/>
  </mergeCells>
  <conditionalFormatting sqref="V29">
    <cfRule type="expression" dxfId="22" priority="24">
      <formula xml:space="preserve"> #REF! &gt; #REF! +0.1</formula>
    </cfRule>
  </conditionalFormatting>
  <conditionalFormatting sqref="S12:S14">
    <cfRule type="beginsWith" dxfId="21" priority="23" operator="beginsWith" text="Choose">
      <formula>LEFT(S12,LEN("Choose"))="Choose"</formula>
    </cfRule>
  </conditionalFormatting>
  <conditionalFormatting sqref="W16:X16 W17">
    <cfRule type="expression" dxfId="20" priority="25">
      <formula>$AC$27</formula>
    </cfRule>
  </conditionalFormatting>
  <conditionalFormatting sqref="V21:V25 V11:V19">
    <cfRule type="containsErrors" dxfId="19" priority="22">
      <formula>ISERROR(V11)</formula>
    </cfRule>
  </conditionalFormatting>
  <conditionalFormatting sqref="R14:R18">
    <cfRule type="containsErrors" dxfId="18" priority="19">
      <formula>ISERROR(R14)</formula>
    </cfRule>
  </conditionalFormatting>
  <conditionalFormatting sqref="V20">
    <cfRule type="containsErrors" dxfId="17" priority="15">
      <formula>ISERROR(V20)</formula>
    </cfRule>
  </conditionalFormatting>
  <conditionalFormatting sqref="W19:X19">
    <cfRule type="containsText" dxfId="16" priority="14" operator="containsText" text="ELIGIBLE for 5.99% @ 100">
      <formula>NOT(ISERROR(SEARCH("ELIGIBLE for 5.99% @ 100",W19)))</formula>
    </cfRule>
  </conditionalFormatting>
  <conditionalFormatting sqref="U9">
    <cfRule type="containsText" dxfId="15" priority="10" operator="containsText" text="Rate">
      <formula>NOT(ISERROR(SEARCH("Rate",U9)))</formula>
    </cfRule>
    <cfRule type="expression" dxfId="14" priority="13">
      <formula>Output_NetPrice_ExpNR &lt; 99</formula>
    </cfRule>
  </conditionalFormatting>
  <conditionalFormatting sqref="U9">
    <cfRule type="expression" dxfId="13" priority="12">
      <formula>Output_NetPrice_JM &lt; 99</formula>
    </cfRule>
  </conditionalFormatting>
  <conditionalFormatting sqref="W18:X18">
    <cfRule type="containsText" dxfId="12" priority="11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11" priority="9">
      <formula>ISERROR(W13)</formula>
    </cfRule>
  </conditionalFormatting>
  <conditionalFormatting sqref="C12:E55">
    <cfRule type="containsErrors" dxfId="10" priority="34">
      <formula>ISERROR(C12)</formula>
    </cfRule>
  </conditionalFormatting>
  <conditionalFormatting sqref="R12:R13">
    <cfRule type="containsErrors" dxfId="9" priority="28">
      <formula>ISERROR(R12)</formula>
    </cfRule>
  </conditionalFormatting>
  <conditionalFormatting sqref="G10:Q11 R12:R18 G12:G19">
    <cfRule type="containsText" dxfId="8" priority="8" operator="containsText" text="n/a">
      <formula>NOT(ISERROR(SEARCH("n/a",G10)))</formula>
    </cfRule>
  </conditionalFormatting>
  <conditionalFormatting sqref="W15:X15">
    <cfRule type="expression" dxfId="7" priority="7">
      <formula>IF($U$19="Condotel",TRUE,FALSE)</formula>
    </cfRule>
  </conditionalFormatting>
  <conditionalFormatting sqref="P19:Q19 Q18">
    <cfRule type="containsErrors" dxfId="6" priority="35">
      <formula>ISERROR(P18)</formula>
    </cfRule>
  </conditionalFormatting>
  <conditionalFormatting sqref="W33:X33">
    <cfRule type="expression" dxfId="5" priority="3">
      <formula>$W$33="Min Floor Rate Not Met!!!"</formula>
    </cfRule>
    <cfRule type="expression" dxfId="4" priority="4">
      <formula>$W$33="Min Floor Rate Met"</formula>
    </cfRule>
    <cfRule type="containsErrors" dxfId="3" priority="5">
      <formula>ISERROR(W33)</formula>
    </cfRule>
  </conditionalFormatting>
  <conditionalFormatting sqref="G20:Q20">
    <cfRule type="containsText" dxfId="2" priority="2" operator="containsText" text="n/a">
      <formula>NOT(ISERROR(SEARCH("n/a",G20)))</formula>
    </cfRule>
  </conditionalFormatting>
  <conditionalFormatting sqref="G57">
    <cfRule type="containsText" dxfId="1" priority="1" operator="containsText" text="n/a">
      <formula>NOT(ISERROR(SEARCH("n/a",G57)))</formula>
    </cfRule>
  </conditionalFormatting>
  <pageMargins left="0.25" right="0.25" top="0.75" bottom="0.75" header="0.3" footer="0.3"/>
  <pageSetup paperSize="5" scale="50" orientation="landscape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9" id="{88B40E26-2D4B-4A14-9EDB-93A5CBA5E53E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87AF10B7-8FCA-4BC7-878E-383B40C11D0B}">
          <x14:formula1>
            <xm:f>'Feed(WS)'!$N$81:$N$127</xm:f>
          </x14:formula1>
          <xm:sqref>U9</xm:sqref>
        </x14:dataValidation>
        <x14:dataValidation type="list" allowBlank="1" showInputMessage="1" showErrorMessage="1" xr:uid="{DEAB5047-98EA-4C4C-BB84-E52D7BC7607E}">
          <x14:formula1>
            <xm:f>'Feed(WS)'!$K$2:$K$5</xm:f>
          </x14:formula1>
          <xm:sqref>U24</xm:sqref>
        </x14:dataValidation>
        <x14:dataValidation type="list" allowBlank="1" showInputMessage="1" showErrorMessage="1" xr:uid="{548F4C5C-2D33-41D9-9A17-770532945BE5}">
          <x14:formula1>
            <xm:f>'Feed(WS)'!$J$2:$J$13</xm:f>
          </x14:formula1>
          <xm:sqref>U20</xm:sqref>
        </x14:dataValidation>
        <x14:dataValidation type="list" allowBlank="1" showInputMessage="1" showErrorMessage="1" xr:uid="{940BDE14-BE0C-4BAE-8697-CA69366D6DCB}">
          <x14:formula1>
            <xm:f>'Feed(WS)'!$L$2:$L$7</xm:f>
          </x14:formula1>
          <xm:sqref>U15</xm:sqref>
        </x14:dataValidation>
        <x14:dataValidation type="list" allowBlank="1" showInputMessage="1" showErrorMessage="1" xr:uid="{E402C7C2-2BE3-4525-A74D-75E2A550428E}">
          <x14:formula1>
            <xm:f>'Feed(WS)'!$I$2:$I$6</xm:f>
          </x14:formula1>
          <xm:sqref>U18</xm:sqref>
        </x14:dataValidation>
        <x14:dataValidation type="list" allowBlank="1" showInputMessage="1" showErrorMessage="1" xr:uid="{C7E1A0CF-C281-4C5D-965F-5A38CE7BA5B8}">
          <x14:formula1>
            <xm:f>'Feed(WS)'!$A$2:$A$12</xm:f>
          </x14:formula1>
          <xm:sqref>U11</xm:sqref>
        </x14:dataValidation>
        <x14:dataValidation type="list" allowBlank="1" showInputMessage="1" showErrorMessage="1" xr:uid="{5D57F7F1-0420-40E8-87AD-4F662568B69E}">
          <x14:formula1>
            <xm:f>'Feed(WS)'!$H$2:$H$9</xm:f>
          </x14:formula1>
          <xm:sqref>U19</xm:sqref>
        </x14:dataValidation>
        <x14:dataValidation type="list" allowBlank="1" showInputMessage="1" showErrorMessage="1" xr:uid="{92FD918F-38D1-42F0-9E93-BA609C907762}">
          <x14:formula1>
            <xm:f>'Feed(WS)'!$M$2:$M$4</xm:f>
          </x14:formula1>
          <xm:sqref>U12</xm:sqref>
        </x14:dataValidation>
        <x14:dataValidation type="list" allowBlank="1" showInputMessage="1" showErrorMessage="1" xr:uid="{35BC3898-D4DA-480E-A520-6FFB4B0BEE79}">
          <x14:formula1>
            <xm:f>'Feed(WS)'!$O$2:$O$5</xm:f>
          </x14:formula1>
          <xm:sqref>U22</xm:sqref>
        </x14:dataValidation>
        <x14:dataValidation type="list" allowBlank="1" showInputMessage="1" showErrorMessage="1" xr:uid="{9E53D884-F08C-4D27-947B-3633BAD848D4}">
          <x14:formula1>
            <xm:f>'Feed(WS)'!$N$2:$N$13</xm:f>
          </x14:formula1>
          <xm:sqref>U21</xm:sqref>
        </x14:dataValidation>
        <x14:dataValidation type="list" allowBlank="1" showInputMessage="1" showErrorMessage="1" xr:uid="{7A5B7A80-B5FD-4254-B445-743FFF413C52}">
          <x14:formula1>
            <xm:f>'Feed(WS)'!$F$2:$F$11</xm:f>
          </x14:formula1>
          <xm:sqref>U17</xm:sqref>
        </x14:dataValidation>
        <x14:dataValidation type="list" allowBlank="1" showInputMessage="1" showErrorMessage="1" xr:uid="{151DDB55-9CF6-40B4-A863-00990B4E8669}">
          <x14:formula1>
            <xm:f>'Feed(WS)'!$B$2:$B$13</xm:f>
          </x14:formula1>
          <xm:sqref>U10</xm:sqref>
        </x14:dataValidation>
        <x14:dataValidation type="list" allowBlank="1" showInputMessage="1" showErrorMessage="1" xr:uid="{699B27B4-B164-4369-A2BE-8156D9C2F2E7}">
          <x14:formula1>
            <xm:f>'Feed(WS)'!$C$2:$C$6</xm:f>
          </x14:formula1>
          <xm:sqref>U13</xm:sqref>
        </x14:dataValidation>
        <x14:dataValidation type="list" allowBlank="1" showInputMessage="1" showErrorMessage="1" xr:uid="{F9DA703F-E74E-4856-862C-DB3D01C92789}">
          <x14:formula1>
            <xm:f>'Feed(WS)'!$P$2:$P$5</xm:f>
          </x14:formula1>
          <xm:sqref>U23</xm:sqref>
        </x14:dataValidation>
        <x14:dataValidation type="list" allowBlank="1" showInputMessage="1" showErrorMessage="1" xr:uid="{D4735134-BB89-44A8-A0C0-EDC6E2AED592}">
          <x14:formula1>
            <xm:f>'Feed(WS)'!$E$2:$E$6</xm:f>
          </x14:formula1>
          <xm:sqref>U16</xm:sqref>
        </x14:dataValidation>
        <x14:dataValidation type="list" allowBlank="1" showInputMessage="1" showErrorMessage="1" xr:uid="{53B3B411-68DA-4E05-A15B-37A579D69836}">
          <x14:formula1>
            <xm:f>'Feed(WS)'!$D$2:$D$8</xm:f>
          </x14:formula1>
          <xm:sqref>U14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42" t="s">
        <v>44</v>
      </c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344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87" t="s">
        <v>45</v>
      </c>
      <c r="D14" s="388"/>
      <c r="E14" s="389"/>
      <c r="F14" s="364" t="s">
        <v>46</v>
      </c>
      <c r="G14" s="365"/>
      <c r="H14" s="5"/>
      <c r="I14" s="346" t="s">
        <v>47</v>
      </c>
      <c r="J14" s="347"/>
      <c r="K14" s="348"/>
      <c r="M14" s="5"/>
      <c r="N14" s="384" t="s">
        <v>48</v>
      </c>
      <c r="O14" s="385"/>
      <c r="P14" s="385"/>
      <c r="Q14" s="385"/>
      <c r="R14" s="385"/>
      <c r="S14" s="385"/>
      <c r="T14" s="385"/>
      <c r="U14" s="386"/>
      <c r="V14" s="9"/>
    </row>
    <row r="15" spans="2:22" ht="17.25" customHeight="1" thickBot="1">
      <c r="B15" s="25"/>
      <c r="C15" s="45" t="s">
        <v>49</v>
      </c>
      <c r="D15" s="390">
        <v>1295</v>
      </c>
      <c r="E15" s="391"/>
      <c r="F15" s="368">
        <v>-0.25</v>
      </c>
      <c r="G15" s="369"/>
      <c r="H15" s="5"/>
      <c r="I15" s="349" t="s">
        <v>50</v>
      </c>
      <c r="J15" s="350"/>
      <c r="K15" s="351"/>
      <c r="M15" s="5"/>
      <c r="N15" s="371" t="s">
        <v>51</v>
      </c>
      <c r="O15" s="372"/>
      <c r="P15" s="373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392" t="s">
        <v>54</v>
      </c>
      <c r="D16" s="393"/>
      <c r="E16" s="394"/>
      <c r="F16" s="364" t="s">
        <v>55</v>
      </c>
      <c r="G16" s="365"/>
      <c r="H16" s="5"/>
      <c r="I16" s="352"/>
      <c r="J16" s="353"/>
      <c r="K16" s="354"/>
      <c r="M16" s="5"/>
      <c r="N16" s="374"/>
      <c r="O16" s="375"/>
      <c r="P16" s="376"/>
      <c r="Q16" s="30" t="s">
        <v>56</v>
      </c>
      <c r="R16" s="345" t="s">
        <v>57</v>
      </c>
      <c r="S16" s="345"/>
      <c r="T16" s="345"/>
      <c r="U16" s="34"/>
      <c r="V16" s="9"/>
    </row>
    <row r="17" spans="2:22" ht="17.25" customHeight="1" thickBot="1">
      <c r="B17" s="25"/>
      <c r="C17" s="395">
        <v>79</v>
      </c>
      <c r="D17" s="396"/>
      <c r="E17" s="397"/>
      <c r="F17" s="368" t="s">
        <v>58</v>
      </c>
      <c r="G17" s="369"/>
      <c r="H17" s="5"/>
      <c r="I17" s="355"/>
      <c r="J17" s="356"/>
      <c r="K17" s="357"/>
      <c r="M17" s="5"/>
      <c r="N17" s="361"/>
      <c r="O17" s="362"/>
      <c r="P17" s="363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58" t="s">
        <v>59</v>
      </c>
      <c r="O18" s="359"/>
      <c r="P18" s="360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61"/>
      <c r="O19" s="362"/>
      <c r="P19" s="363"/>
      <c r="Q19" s="30" t="s">
        <v>56</v>
      </c>
      <c r="R19" s="366" t="s">
        <v>61</v>
      </c>
      <c r="S19" s="366"/>
      <c r="T19" s="366"/>
      <c r="U19" s="367"/>
      <c r="V19" s="9"/>
    </row>
    <row r="20" spans="2:22" ht="13.5" customHeight="1" thickBot="1">
      <c r="B20" s="25"/>
      <c r="C20" s="377" t="s">
        <v>62</v>
      </c>
      <c r="D20" s="378"/>
      <c r="E20" s="378"/>
      <c r="F20" s="378"/>
      <c r="G20" s="378"/>
      <c r="H20" s="378"/>
      <c r="I20" s="378"/>
      <c r="J20" s="379"/>
      <c r="M20" s="5"/>
      <c r="N20" s="358" t="s">
        <v>63</v>
      </c>
      <c r="O20" s="359"/>
      <c r="P20" s="360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327" t="s">
        <v>64</v>
      </c>
      <c r="D21" s="326"/>
      <c r="E21" s="326" t="s">
        <v>65</v>
      </c>
      <c r="F21" s="326"/>
      <c r="G21" s="326" t="s">
        <v>66</v>
      </c>
      <c r="H21" s="326"/>
      <c r="I21" s="326"/>
      <c r="J21" s="47" t="s">
        <v>67</v>
      </c>
      <c r="M21" s="5"/>
      <c r="N21" s="361"/>
      <c r="O21" s="362"/>
      <c r="P21" s="363"/>
      <c r="Q21" s="12" t="s">
        <v>56</v>
      </c>
      <c r="R21" s="370" t="s">
        <v>68</v>
      </c>
      <c r="S21" s="370"/>
      <c r="T21" s="370"/>
      <c r="U21" s="36"/>
      <c r="V21" s="9"/>
    </row>
    <row r="22" spans="2:22">
      <c r="B22" s="25"/>
      <c r="C22" s="382" t="s">
        <v>69</v>
      </c>
      <c r="D22" s="383"/>
      <c r="E22" s="341" t="s">
        <v>70</v>
      </c>
      <c r="F22" s="341"/>
      <c r="G22" s="341" t="s">
        <v>71</v>
      </c>
      <c r="H22" s="341"/>
      <c r="I22" s="341"/>
      <c r="J22" s="46" t="s">
        <v>72</v>
      </c>
      <c r="M22" s="5"/>
      <c r="N22" s="329" t="s">
        <v>73</v>
      </c>
      <c r="O22" s="330"/>
      <c r="P22" s="331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80" t="s">
        <v>74</v>
      </c>
      <c r="D23" s="381"/>
      <c r="E23" s="323" t="s">
        <v>70</v>
      </c>
      <c r="F23" s="324"/>
      <c r="G23" s="323" t="s">
        <v>75</v>
      </c>
      <c r="H23" s="325"/>
      <c r="I23" s="324"/>
      <c r="J23" s="76"/>
      <c r="M23" s="5"/>
      <c r="N23" s="332"/>
      <c r="O23" s="333"/>
      <c r="P23" s="334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80" t="s">
        <v>77</v>
      </c>
      <c r="D24" s="381"/>
      <c r="E24" s="323" t="s">
        <v>70</v>
      </c>
      <c r="F24" s="324"/>
      <c r="G24" s="323" t="s">
        <v>78</v>
      </c>
      <c r="H24" s="325"/>
      <c r="I24" s="324"/>
      <c r="J24" s="76" t="s">
        <v>72</v>
      </c>
      <c r="L24" s="27"/>
      <c r="M24" s="5"/>
      <c r="N24" s="329" t="s">
        <v>79</v>
      </c>
      <c r="O24" s="330"/>
      <c r="P24" s="331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80" t="s">
        <v>81</v>
      </c>
      <c r="D25" s="381"/>
      <c r="E25" s="323" t="s">
        <v>70</v>
      </c>
      <c r="F25" s="324"/>
      <c r="G25" s="323" t="s">
        <v>78</v>
      </c>
      <c r="H25" s="325"/>
      <c r="I25" s="324"/>
      <c r="J25" s="76" t="s">
        <v>72</v>
      </c>
      <c r="M25" s="5"/>
      <c r="N25" s="332"/>
      <c r="O25" s="333"/>
      <c r="P25" s="334"/>
      <c r="Q25" s="30" t="s">
        <v>56</v>
      </c>
      <c r="R25" s="345" t="s">
        <v>82</v>
      </c>
      <c r="S25" s="345"/>
      <c r="T25" s="345"/>
      <c r="U25" s="34"/>
      <c r="V25" s="9"/>
    </row>
    <row r="26" spans="2:22">
      <c r="B26" s="25"/>
      <c r="C26" s="380" t="s">
        <v>83</v>
      </c>
      <c r="D26" s="381"/>
      <c r="E26" s="323" t="s">
        <v>84</v>
      </c>
      <c r="F26" s="324"/>
      <c r="G26" s="323" t="s">
        <v>71</v>
      </c>
      <c r="H26" s="325"/>
      <c r="I26" s="324"/>
      <c r="J26" s="76" t="s">
        <v>85</v>
      </c>
      <c r="M26" s="5"/>
      <c r="N26" s="329" t="s">
        <v>86</v>
      </c>
      <c r="O26" s="330"/>
      <c r="P26" s="331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80" t="s">
        <v>87</v>
      </c>
      <c r="D27" s="381"/>
      <c r="E27" s="323" t="s">
        <v>88</v>
      </c>
      <c r="F27" s="324"/>
      <c r="G27" s="323" t="s">
        <v>89</v>
      </c>
      <c r="H27" s="325"/>
      <c r="I27" s="324"/>
      <c r="J27" s="76" t="s">
        <v>90</v>
      </c>
      <c r="M27" s="5"/>
      <c r="N27" s="332"/>
      <c r="O27" s="333"/>
      <c r="P27" s="334"/>
      <c r="Q27" s="15" t="s">
        <v>56</v>
      </c>
      <c r="R27" s="328" t="s">
        <v>91</v>
      </c>
      <c r="S27" s="328"/>
      <c r="T27" s="328"/>
      <c r="U27" s="51"/>
      <c r="V27" s="9"/>
    </row>
    <row r="28" spans="2:22">
      <c r="B28" s="25"/>
      <c r="C28" s="380" t="s">
        <v>92</v>
      </c>
      <c r="D28" s="381"/>
      <c r="E28" s="323" t="s">
        <v>88</v>
      </c>
      <c r="F28" s="324"/>
      <c r="G28" s="323" t="s">
        <v>78</v>
      </c>
      <c r="H28" s="325"/>
      <c r="I28" s="324"/>
      <c r="J28" s="76" t="s">
        <v>93</v>
      </c>
      <c r="M28" s="5"/>
      <c r="N28" s="329" t="s">
        <v>94</v>
      </c>
      <c r="O28" s="330"/>
      <c r="P28" s="331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80" t="s">
        <v>95</v>
      </c>
      <c r="D29" s="381"/>
      <c r="E29" s="323" t="s">
        <v>88</v>
      </c>
      <c r="F29" s="324"/>
      <c r="G29" s="323" t="s">
        <v>96</v>
      </c>
      <c r="H29" s="325"/>
      <c r="I29" s="324"/>
      <c r="J29" s="76" t="s">
        <v>97</v>
      </c>
      <c r="M29" s="5"/>
      <c r="N29" s="335"/>
      <c r="O29" s="336"/>
      <c r="P29" s="337"/>
      <c r="Q29" s="31" t="s">
        <v>56</v>
      </c>
      <c r="R29" s="338" t="s">
        <v>98</v>
      </c>
      <c r="S29" s="338"/>
      <c r="T29" s="338"/>
      <c r="U29" s="39"/>
      <c r="V29" s="9"/>
    </row>
    <row r="30" spans="2:22">
      <c r="B30" s="25"/>
      <c r="C30" s="380" t="s">
        <v>99</v>
      </c>
      <c r="D30" s="381"/>
      <c r="E30" s="323" t="s">
        <v>88</v>
      </c>
      <c r="F30" s="324"/>
      <c r="G30" s="323" t="s">
        <v>100</v>
      </c>
      <c r="H30" s="325"/>
      <c r="I30" s="324"/>
      <c r="J30" s="76" t="s">
        <v>97</v>
      </c>
      <c r="M30" s="5"/>
      <c r="N30" s="358" t="s">
        <v>101</v>
      </c>
      <c r="O30" s="359"/>
      <c r="P30" s="359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409" t="s">
        <v>104</v>
      </c>
      <c r="D31" s="410"/>
      <c r="E31" s="339" t="s">
        <v>88</v>
      </c>
      <c r="F31" s="340"/>
      <c r="G31" s="339" t="s">
        <v>105</v>
      </c>
      <c r="H31" s="408"/>
      <c r="I31" s="340"/>
      <c r="J31" s="78" t="s">
        <v>106</v>
      </c>
      <c r="M31" s="5"/>
      <c r="N31" s="374"/>
      <c r="O31" s="375"/>
      <c r="P31" s="375"/>
      <c r="Q31" s="43" t="s">
        <v>56</v>
      </c>
      <c r="R31" s="338" t="s">
        <v>107</v>
      </c>
      <c r="S31" s="338"/>
      <c r="T31" s="338"/>
      <c r="U31" s="39"/>
      <c r="V31" s="9"/>
    </row>
    <row r="32" spans="2:22">
      <c r="B32" s="25"/>
      <c r="I32" s="5"/>
      <c r="M32" s="5"/>
      <c r="N32" s="374"/>
      <c r="O32" s="375"/>
      <c r="P32" s="375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74"/>
      <c r="O33" s="375"/>
      <c r="P33" s="375"/>
      <c r="Q33" s="15" t="s">
        <v>56</v>
      </c>
      <c r="R33" s="328" t="s">
        <v>109</v>
      </c>
      <c r="S33" s="328"/>
      <c r="T33" s="328"/>
      <c r="U33" s="40"/>
      <c r="V33" s="9"/>
    </row>
    <row r="34" spans="2:22">
      <c r="B34" s="25"/>
      <c r="G34" s="29"/>
      <c r="H34" s="29"/>
      <c r="M34" s="5"/>
      <c r="N34" s="374"/>
      <c r="O34" s="375"/>
      <c r="P34" s="375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74"/>
      <c r="O35" s="375"/>
      <c r="P35" s="375"/>
      <c r="Q35" s="15" t="s">
        <v>56</v>
      </c>
      <c r="R35" s="328" t="s">
        <v>111</v>
      </c>
      <c r="S35" s="328"/>
      <c r="T35" s="328"/>
      <c r="U35" s="40"/>
      <c r="V35" s="9"/>
    </row>
    <row r="36" spans="2:22">
      <c r="B36" s="25"/>
      <c r="G36" s="29"/>
      <c r="H36" s="29"/>
      <c r="M36" s="5"/>
      <c r="N36" s="374"/>
      <c r="O36" s="375"/>
      <c r="P36" s="375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04"/>
      <c r="D37" s="404"/>
      <c r="F37" s="404"/>
      <c r="G37" s="404"/>
      <c r="H37" s="29"/>
      <c r="I37" s="404"/>
      <c r="J37" s="404"/>
      <c r="M37" s="5"/>
      <c r="N37" s="374"/>
      <c r="O37" s="375"/>
      <c r="P37" s="375"/>
      <c r="Q37" s="15" t="s">
        <v>56</v>
      </c>
      <c r="R37" s="328" t="s">
        <v>113</v>
      </c>
      <c r="S37" s="328"/>
      <c r="T37" s="328"/>
      <c r="U37" s="40"/>
      <c r="V37" s="9"/>
    </row>
    <row r="38" spans="2:22">
      <c r="B38" s="25"/>
      <c r="G38" s="29"/>
      <c r="H38" s="29"/>
      <c r="M38" s="5"/>
      <c r="N38" s="374"/>
      <c r="O38" s="375"/>
      <c r="P38" s="375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04"/>
      <c r="D39" s="404"/>
      <c r="F39" s="404"/>
      <c r="G39" s="404"/>
      <c r="H39" s="29"/>
      <c r="I39" s="404"/>
      <c r="J39" s="404"/>
      <c r="M39" s="5"/>
      <c r="N39" s="406"/>
      <c r="O39" s="407"/>
      <c r="P39" s="407"/>
      <c r="Q39" s="44" t="s">
        <v>56</v>
      </c>
      <c r="R39" s="405" t="s">
        <v>115</v>
      </c>
      <c r="S39" s="405"/>
      <c r="T39" s="405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01" t="s">
        <v>116</v>
      </c>
      <c r="C44" s="402"/>
      <c r="D44" s="402"/>
      <c r="E44" s="402"/>
      <c r="F44" s="402"/>
      <c r="G44" s="402"/>
      <c r="H44" s="402"/>
      <c r="I44" s="402"/>
      <c r="J44" s="402"/>
      <c r="K44" s="402"/>
      <c r="L44" s="402"/>
      <c r="M44" s="402"/>
      <c r="N44" s="402"/>
      <c r="O44" s="402"/>
      <c r="P44" s="402"/>
      <c r="Q44" s="402"/>
      <c r="R44" s="402"/>
      <c r="S44" s="402"/>
      <c r="T44" s="402"/>
      <c r="U44" s="402"/>
      <c r="V44" s="403"/>
    </row>
    <row r="45" spans="2:22" ht="14.1" customHeight="1" thickBot="1">
      <c r="B45" s="398" t="s">
        <v>117</v>
      </c>
      <c r="C45" s="399"/>
      <c r="D45" s="399"/>
      <c r="E45" s="399"/>
      <c r="F45" s="399"/>
      <c r="G45" s="399"/>
      <c r="H45" s="399"/>
      <c r="I45" s="399"/>
      <c r="J45" s="399"/>
      <c r="K45" s="399"/>
      <c r="L45" s="399"/>
      <c r="M45" s="399"/>
      <c r="N45" s="399"/>
      <c r="O45" s="399"/>
      <c r="P45" s="399"/>
      <c r="Q45" s="399"/>
      <c r="R45" s="399"/>
      <c r="S45" s="399"/>
      <c r="T45" s="399"/>
      <c r="U45" s="399"/>
      <c r="V45" s="400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Feed(WS)</vt:lpstr>
      <vt:lpstr>Closed End Seconds (LP)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2026-06-30T22:32:57Z</cp:lastPrinted>
  <dcterms:created xsi:type="dcterms:W3CDTF">2019-03-27T01:13:56Z</dcterms:created>
  <dcterms:modified xsi:type="dcterms:W3CDTF">2026-06-30T22:33:18Z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{"port":50152,"version":"1.26.718"}</vt:lpwstr>
  </property>
</Properties>
</file>